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XÃ KHOÁI CHÂU 2026\THẨM ĐỊNH PHÊ DUYỆT PA SÂN GÔN ĐỢT 1\PHÊ DUYỆT ĐỢT 5\1145\"/>
    </mc:Choice>
  </mc:AlternateContent>
  <bookViews>
    <workbookView xWindow="-105" yWindow="-105" windowWidth="23145" windowHeight="9330" firstSheet="1" activeTab="1"/>
  </bookViews>
  <sheets>
    <sheet name="Xóm 8" sheetId="5" r:id="rId1"/>
    <sheet name="PA Trung châu DOT3 - F gốc" sheetId="8" r:id="rId2"/>
    <sheet name="Chi trả Đợt 5 kèm QĐ (11 hộ" sheetId="13" r:id="rId3"/>
  </sheets>
  <definedNames>
    <definedName name="_xlnm._FilterDatabase" localSheetId="2" hidden="1">'Chi trả Đợt 5 kèm QĐ (11 hộ'!$A$8:$AF$128</definedName>
    <definedName name="_xlnm._FilterDatabase" localSheetId="1" hidden="1">'PA Trung châu DOT3 - F gốc'!$A$7:$AF$130</definedName>
    <definedName name="_xlnm.Print_Titles" localSheetId="2">'Chi trả Đợt 5 kèm QĐ (11 hộ'!$4:$6</definedName>
    <definedName name="_xlnm.Print_Titles" localSheetId="1">'PA Trung châu DOT3 - F gốc'!$3:$5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28" i="13" l="1"/>
  <c r="L128" i="13"/>
  <c r="H128" i="13"/>
  <c r="G128" i="13"/>
  <c r="E128" i="13"/>
  <c r="AC127" i="13"/>
  <c r="AC126" i="13"/>
  <c r="AC125" i="13"/>
  <c r="W125" i="13"/>
  <c r="W126" i="13" s="1"/>
  <c r="AC124" i="13"/>
  <c r="AC123" i="13"/>
  <c r="W123" i="13"/>
  <c r="AC122" i="13"/>
  <c r="AC121" i="13"/>
  <c r="AC120" i="13"/>
  <c r="AC119" i="13"/>
  <c r="AD119" i="13" s="1"/>
  <c r="W119" i="13"/>
  <c r="Q119" i="13"/>
  <c r="R119" i="13" s="1"/>
  <c r="M119" i="13"/>
  <c r="N119" i="13" s="1"/>
  <c r="S119" i="13" s="1"/>
  <c r="I119" i="13"/>
  <c r="AC118" i="13"/>
  <c r="AC117" i="13"/>
  <c r="AC116" i="13"/>
  <c r="AC115" i="13"/>
  <c r="AC114" i="13"/>
  <c r="W114" i="13"/>
  <c r="AC113" i="13"/>
  <c r="AD112" i="13" s="1"/>
  <c r="AC112" i="13"/>
  <c r="W112" i="13"/>
  <c r="Q112" i="13"/>
  <c r="R112" i="13" s="1"/>
  <c r="N112" i="13"/>
  <c r="S112" i="13" s="1"/>
  <c r="M112" i="13"/>
  <c r="AC111" i="13"/>
  <c r="AC110" i="13"/>
  <c r="AC109" i="13"/>
  <c r="AD109" i="13" s="1"/>
  <c r="R109" i="13"/>
  <c r="Q109" i="13"/>
  <c r="M109" i="13"/>
  <c r="N109" i="13" s="1"/>
  <c r="S109" i="13" s="1"/>
  <c r="T109" i="13" s="1"/>
  <c r="AE109" i="13" s="1"/>
  <c r="AC108" i="13"/>
  <c r="AC107" i="13"/>
  <c r="AC106" i="13"/>
  <c r="AC105" i="13"/>
  <c r="AC104" i="13"/>
  <c r="AD104" i="13" s="1"/>
  <c r="W104" i="13"/>
  <c r="J104" i="13"/>
  <c r="M104" i="13" s="1"/>
  <c r="N104" i="13" s="1"/>
  <c r="S104" i="13" s="1"/>
  <c r="I104" i="13"/>
  <c r="AC103" i="13"/>
  <c r="AC102" i="13"/>
  <c r="AC101" i="13"/>
  <c r="W101" i="13"/>
  <c r="AC100" i="13"/>
  <c r="AC99" i="13"/>
  <c r="W99" i="13"/>
  <c r="I99" i="13"/>
  <c r="AC98" i="13"/>
  <c r="AC97" i="13"/>
  <c r="W97" i="13"/>
  <c r="AC96" i="13"/>
  <c r="AC95" i="13"/>
  <c r="W95" i="13"/>
  <c r="AC94" i="13"/>
  <c r="AC93" i="13"/>
  <c r="AC92" i="13"/>
  <c r="AC91" i="13"/>
  <c r="AD91" i="13" s="1"/>
  <c r="W91" i="13"/>
  <c r="J91" i="13"/>
  <c r="Q91" i="13" s="1"/>
  <c r="I91" i="13"/>
  <c r="AC90" i="13"/>
  <c r="AC89" i="13"/>
  <c r="AC88" i="13"/>
  <c r="AC87" i="13"/>
  <c r="AC86" i="13"/>
  <c r="AC85" i="13"/>
  <c r="AC84" i="13"/>
  <c r="AC83" i="13"/>
  <c r="AC82" i="13"/>
  <c r="AC81" i="13"/>
  <c r="AC80" i="13"/>
  <c r="AC79" i="13"/>
  <c r="AC78" i="13"/>
  <c r="AC77" i="13"/>
  <c r="AC76" i="13"/>
  <c r="AC75" i="13"/>
  <c r="AC74" i="13"/>
  <c r="AC73" i="13"/>
  <c r="AC72" i="13"/>
  <c r="AC71" i="13"/>
  <c r="AC70" i="13"/>
  <c r="AC69" i="13"/>
  <c r="W69" i="13"/>
  <c r="AC68" i="13"/>
  <c r="AC67" i="13"/>
  <c r="AC66" i="13"/>
  <c r="AC65" i="13"/>
  <c r="AD65" i="13" s="1"/>
  <c r="Q65" i="13"/>
  <c r="R65" i="13" s="1"/>
  <c r="J65" i="13"/>
  <c r="W73" i="13" s="1"/>
  <c r="I65" i="13"/>
  <c r="AC64" i="13"/>
  <c r="I64" i="13"/>
  <c r="AC63" i="13"/>
  <c r="AD56" i="13" s="1"/>
  <c r="I63" i="13"/>
  <c r="AC62" i="13"/>
  <c r="AC61" i="13"/>
  <c r="W61" i="13"/>
  <c r="AC60" i="13"/>
  <c r="W60" i="13"/>
  <c r="AC59" i="13"/>
  <c r="AC58" i="13"/>
  <c r="W58" i="13"/>
  <c r="AC57" i="13"/>
  <c r="AC56" i="13"/>
  <c r="W56" i="13"/>
  <c r="R56" i="13"/>
  <c r="Q56" i="13"/>
  <c r="M56" i="13"/>
  <c r="N56" i="13" s="1"/>
  <c r="S56" i="13" s="1"/>
  <c r="I56" i="13"/>
  <c r="AC55" i="13"/>
  <c r="W55" i="13"/>
  <c r="AC54" i="13"/>
  <c r="AC53" i="13"/>
  <c r="AC52" i="13"/>
  <c r="AC51" i="13"/>
  <c r="AD51" i="13" s="1"/>
  <c r="W51" i="13"/>
  <c r="Q51" i="13"/>
  <c r="M51" i="13"/>
  <c r="N51" i="13" s="1"/>
  <c r="S51" i="13" s="1"/>
  <c r="J51" i="13"/>
  <c r="I51" i="13"/>
  <c r="AC50" i="13"/>
  <c r="AC49" i="13"/>
  <c r="AC48" i="13"/>
  <c r="AC47" i="13"/>
  <c r="AC46" i="13"/>
  <c r="AC45" i="13"/>
  <c r="AC44" i="13"/>
  <c r="AC43" i="13"/>
  <c r="AC42" i="13"/>
  <c r="W42" i="13"/>
  <c r="V42" i="13"/>
  <c r="AC41" i="13"/>
  <c r="AC40" i="13"/>
  <c r="W40" i="13"/>
  <c r="AC39" i="13"/>
  <c r="AC38" i="13"/>
  <c r="AC37" i="13"/>
  <c r="AC36" i="13"/>
  <c r="AC35" i="13"/>
  <c r="W35" i="13"/>
  <c r="AC34" i="13"/>
  <c r="AC33" i="13"/>
  <c r="AD29" i="13" s="1"/>
  <c r="AC32" i="13"/>
  <c r="AC31" i="13"/>
  <c r="AC30" i="13"/>
  <c r="AC29" i="13"/>
  <c r="W29" i="13"/>
  <c r="Q29" i="13"/>
  <c r="R29" i="13" s="1"/>
  <c r="J29" i="13"/>
  <c r="I29" i="13"/>
  <c r="AC28" i="13"/>
  <c r="AC27" i="13"/>
  <c r="AC26" i="13"/>
  <c r="AC25" i="13"/>
  <c r="AC24" i="13"/>
  <c r="W24" i="13"/>
  <c r="I24" i="13"/>
  <c r="AC23" i="13"/>
  <c r="AC22" i="13"/>
  <c r="AC21" i="13"/>
  <c r="AC20" i="13"/>
  <c r="AC19" i="13"/>
  <c r="AD19" i="13" s="1"/>
  <c r="W19" i="13"/>
  <c r="W23" i="13" s="1"/>
  <c r="Q19" i="13"/>
  <c r="J19" i="13"/>
  <c r="I19" i="13"/>
  <c r="AC18" i="13"/>
  <c r="AC17" i="13"/>
  <c r="I17" i="13"/>
  <c r="AC16" i="13"/>
  <c r="W16" i="13"/>
  <c r="AC15" i="13"/>
  <c r="AC14" i="13"/>
  <c r="AC13" i="13"/>
  <c r="AC12" i="13"/>
  <c r="AC11" i="13"/>
  <c r="AD10" i="13" s="1"/>
  <c r="W11" i="13"/>
  <c r="W13" i="13" s="1"/>
  <c r="AC10" i="13"/>
  <c r="Q10" i="13"/>
  <c r="J10" i="13"/>
  <c r="I10" i="13"/>
  <c r="I128" i="13" s="1"/>
  <c r="S7" i="13"/>
  <c r="Q7" i="13"/>
  <c r="AD130" i="13" l="1"/>
  <c r="AD128" i="13"/>
  <c r="Q128" i="13"/>
  <c r="R91" i="13"/>
  <c r="T119" i="13"/>
  <c r="AE119" i="13" s="1"/>
  <c r="T56" i="13"/>
  <c r="AE56" i="13" s="1"/>
  <c r="T112" i="13"/>
  <c r="AE112" i="13" s="1"/>
  <c r="M19" i="13"/>
  <c r="N19" i="13" s="1"/>
  <c r="S19" i="13" s="1"/>
  <c r="R19" i="13"/>
  <c r="T19" i="13" s="1"/>
  <c r="AE19" i="13" s="1"/>
  <c r="R51" i="13"/>
  <c r="T51" i="13" s="1"/>
  <c r="AE51" i="13" s="1"/>
  <c r="Q104" i="13"/>
  <c r="M65" i="13"/>
  <c r="N65" i="13" s="1"/>
  <c r="S65" i="13" s="1"/>
  <c r="R10" i="13"/>
  <c r="M91" i="13"/>
  <c r="N91" i="13" s="1"/>
  <c r="S91" i="13" s="1"/>
  <c r="T91" i="13" s="1"/>
  <c r="AE91" i="13" s="1"/>
  <c r="K10" i="13"/>
  <c r="K19" i="13"/>
  <c r="J128" i="13"/>
  <c r="Q130" i="13" s="1"/>
  <c r="K29" i="13"/>
  <c r="M29" i="13" s="1"/>
  <c r="N29" i="13" s="1"/>
  <c r="S29" i="13" s="1"/>
  <c r="T29" i="13" s="1"/>
  <c r="AE29" i="13" s="1"/>
  <c r="T65" i="13"/>
  <c r="AE65" i="13" s="1"/>
  <c r="W65" i="13"/>
  <c r="R130" i="13" l="1"/>
  <c r="T104" i="13"/>
  <c r="AE104" i="13" s="1"/>
  <c r="R104" i="13"/>
  <c r="K128" i="13"/>
  <c r="M10" i="13"/>
  <c r="N10" i="13" s="1"/>
  <c r="S10" i="13" s="1"/>
  <c r="R128" i="13"/>
  <c r="S128" i="13" l="1"/>
  <c r="T130" i="13" s="1"/>
  <c r="AE130" i="13" s="1"/>
  <c r="T10" i="13"/>
  <c r="AE10" i="13" l="1"/>
  <c r="AE128" i="13" s="1"/>
  <c r="T128" i="13"/>
  <c r="S106" i="8" l="1"/>
  <c r="Q106" i="8" l="1"/>
  <c r="H130" i="8" l="1"/>
  <c r="G130" i="8" l="1"/>
  <c r="L130" i="8" l="1"/>
  <c r="O130" i="8"/>
  <c r="W66" i="8" l="1"/>
  <c r="W10" i="8"/>
  <c r="W12" i="8" s="1"/>
  <c r="W125" i="8"/>
  <c r="W121" i="8"/>
  <c r="W114" i="8"/>
  <c r="W116" i="8" s="1"/>
  <c r="W106" i="8"/>
  <c r="W88" i="8"/>
  <c r="W57" i="8"/>
  <c r="J28" i="8"/>
  <c r="W15" i="8"/>
  <c r="W39" i="8"/>
  <c r="W34" i="8"/>
  <c r="W28" i="8"/>
  <c r="I55" i="8"/>
  <c r="I28" i="8"/>
  <c r="W18" i="8"/>
  <c r="AC129" i="8" l="1"/>
  <c r="AC128" i="8"/>
  <c r="W127" i="8"/>
  <c r="W128" i="8" s="1"/>
  <c r="AC127" i="8"/>
  <c r="AC126" i="8" l="1"/>
  <c r="AC125" i="8"/>
  <c r="AC124" i="8"/>
  <c r="AC123" i="8"/>
  <c r="AC122" i="8"/>
  <c r="AC121" i="8"/>
  <c r="Q121" i="8"/>
  <c r="R121" i="8" s="1"/>
  <c r="M121" i="8"/>
  <c r="N121" i="8" s="1"/>
  <c r="S121" i="8" s="1"/>
  <c r="I121" i="8"/>
  <c r="AC119" i="8"/>
  <c r="AC118" i="8"/>
  <c r="AC117" i="8"/>
  <c r="AC115" i="8"/>
  <c r="AC116" i="8"/>
  <c r="AD121" i="8" l="1"/>
  <c r="T121" i="8"/>
  <c r="AE121" i="8" l="1"/>
  <c r="AC120" i="8" l="1"/>
  <c r="AC114" i="8"/>
  <c r="Q114" i="8"/>
  <c r="I114" i="8"/>
  <c r="AC113" i="8"/>
  <c r="AC111" i="8"/>
  <c r="AC112" i="8"/>
  <c r="Q111" i="8"/>
  <c r="I111" i="8"/>
  <c r="AC110" i="8"/>
  <c r="AC109" i="8"/>
  <c r="AC108" i="8"/>
  <c r="AC107" i="8"/>
  <c r="AC106" i="8"/>
  <c r="AD114" i="8" l="1"/>
  <c r="R114" i="8"/>
  <c r="M114" i="8"/>
  <c r="N114" i="8" s="1"/>
  <c r="AD111" i="8"/>
  <c r="R111" i="8"/>
  <c r="M111" i="8"/>
  <c r="N111" i="8" s="1"/>
  <c r="AD106" i="8" l="1"/>
  <c r="J106" i="8"/>
  <c r="I106" i="8"/>
  <c r="M106" i="8" l="1"/>
  <c r="N106" i="8" s="1"/>
  <c r="R106" i="8"/>
  <c r="AC98" i="8"/>
  <c r="AC87" i="8"/>
  <c r="AC86" i="8"/>
  <c r="AC85" i="8"/>
  <c r="AC84" i="8"/>
  <c r="AC83" i="8"/>
  <c r="AC82" i="8"/>
  <c r="AC81" i="8"/>
  <c r="AC79" i="8"/>
  <c r="AC77" i="8"/>
  <c r="AC75" i="8"/>
  <c r="AC73" i="8"/>
  <c r="AC71" i="8"/>
  <c r="AC69" i="8"/>
  <c r="AC68" i="8"/>
  <c r="AC67" i="8"/>
  <c r="AC66" i="8"/>
  <c r="AC65" i="8"/>
  <c r="AC63" i="8"/>
  <c r="J62" i="8"/>
  <c r="I62" i="8"/>
  <c r="AC61" i="8"/>
  <c r="AC60" i="8"/>
  <c r="AC59" i="8"/>
  <c r="W59" i="8"/>
  <c r="W60" i="8" s="1"/>
  <c r="AC58" i="8"/>
  <c r="AC57" i="8"/>
  <c r="AC56" i="8"/>
  <c r="AC55" i="8"/>
  <c r="J55" i="8"/>
  <c r="M55" i="8" l="1"/>
  <c r="N55" i="8" s="1"/>
  <c r="W55" i="8"/>
  <c r="M62" i="8"/>
  <c r="N62" i="8" s="1"/>
  <c r="W70" i="8"/>
  <c r="W62" i="8"/>
  <c r="AD62" i="8"/>
  <c r="Q62" i="8"/>
  <c r="R62" i="8" s="1"/>
  <c r="Q55" i="8"/>
  <c r="R55" i="8" s="1"/>
  <c r="AD55" i="8"/>
  <c r="AC105" i="8"/>
  <c r="AC104" i="8"/>
  <c r="AC102" i="8"/>
  <c r="AC103" i="8"/>
  <c r="AC101" i="8"/>
  <c r="J101" i="8"/>
  <c r="AC99" i="8" l="1"/>
  <c r="W96" i="8"/>
  <c r="W98" i="8" s="1"/>
  <c r="AC95" i="8"/>
  <c r="W94" i="8"/>
  <c r="W92" i="8"/>
  <c r="AC91" i="8"/>
  <c r="AC89" i="8"/>
  <c r="AC53" i="8"/>
  <c r="AC49" i="8"/>
  <c r="AC48" i="8"/>
  <c r="AC47" i="8"/>
  <c r="AC46" i="8"/>
  <c r="AC42" i="8"/>
  <c r="V41" i="8"/>
  <c r="W41" i="8" s="1"/>
  <c r="AC40" i="8"/>
  <c r="AC38" i="8" l="1"/>
  <c r="AC37" i="8"/>
  <c r="AC43" i="8"/>
  <c r="AC31" i="8"/>
  <c r="AC13" i="8"/>
  <c r="AC12" i="8"/>
  <c r="AC27" i="8"/>
  <c r="AC26" i="8"/>
  <c r="AC21" i="8"/>
  <c r="AC17" i="8" l="1"/>
  <c r="AC16" i="8"/>
  <c r="J9" i="8"/>
  <c r="AC15" i="8"/>
  <c r="AC14" i="8"/>
  <c r="AC9" i="8"/>
  <c r="K9" i="8" l="1"/>
  <c r="W22" i="8" l="1"/>
  <c r="W23" i="8" l="1"/>
  <c r="Q101" i="8"/>
  <c r="R101" i="8" s="1"/>
  <c r="M101" i="8"/>
  <c r="N101" i="8" s="1"/>
  <c r="I101" i="8"/>
  <c r="AC97" i="8"/>
  <c r="I96" i="8"/>
  <c r="AC93" i="8"/>
  <c r="J88" i="8"/>
  <c r="I88" i="8"/>
  <c r="AC54" i="8"/>
  <c r="AC51" i="8"/>
  <c r="J50" i="8"/>
  <c r="M50" i="8" s="1"/>
  <c r="N50" i="8" s="1"/>
  <c r="I50" i="8"/>
  <c r="AC45" i="8"/>
  <c r="AC44" i="8"/>
  <c r="AC35" i="8"/>
  <c r="AC33" i="8"/>
  <c r="AC29" i="8"/>
  <c r="AC24" i="8"/>
  <c r="I23" i="8"/>
  <c r="AC22" i="8"/>
  <c r="AC20" i="8"/>
  <c r="AC19" i="8"/>
  <c r="AC18" i="8"/>
  <c r="J18" i="8"/>
  <c r="I18" i="8"/>
  <c r="I16" i="8"/>
  <c r="AC11" i="8"/>
  <c r="Q9" i="8"/>
  <c r="M9" i="8"/>
  <c r="I9" i="8"/>
  <c r="S6" i="8"/>
  <c r="S114" i="8" s="1"/>
  <c r="T114" i="8" s="1"/>
  <c r="AE114" i="8" s="1"/>
  <c r="Q6" i="8"/>
  <c r="N9" i="8" l="1"/>
  <c r="K18" i="8"/>
  <c r="M18" i="8" s="1"/>
  <c r="N18" i="8" s="1"/>
  <c r="S18" i="8" s="1"/>
  <c r="J130" i="8"/>
  <c r="S62" i="8"/>
  <c r="T106" i="8" s="1"/>
  <c r="AE106" i="8" s="1"/>
  <c r="S111" i="8"/>
  <c r="T111" i="8" s="1"/>
  <c r="AE111" i="8" s="1"/>
  <c r="T62" i="8"/>
  <c r="AE62" i="8" s="1"/>
  <c r="S55" i="8"/>
  <c r="T55" i="8" s="1"/>
  <c r="AE55" i="8" s="1"/>
  <c r="K28" i="8"/>
  <c r="M28" i="8" s="1"/>
  <c r="N28" i="8" s="1"/>
  <c r="S28" i="8" s="1"/>
  <c r="AD28" i="8"/>
  <c r="W50" i="8"/>
  <c r="W54" i="8" s="1"/>
  <c r="AD9" i="8"/>
  <c r="Q50" i="8"/>
  <c r="R50" i="8" s="1"/>
  <c r="AD50" i="8"/>
  <c r="S9" i="8"/>
  <c r="AD88" i="8"/>
  <c r="Q28" i="8"/>
  <c r="AD101" i="8"/>
  <c r="S50" i="8"/>
  <c r="M88" i="8"/>
  <c r="N88" i="8" s="1"/>
  <c r="S88" i="8" s="1"/>
  <c r="S101" i="8"/>
  <c r="T101" i="8" s="1"/>
  <c r="AD18" i="8"/>
  <c r="Q88" i="8"/>
  <c r="R9" i="8"/>
  <c r="Q18" i="8"/>
  <c r="Q130" i="8" l="1"/>
  <c r="S130" i="8"/>
  <c r="AD130" i="8"/>
  <c r="K130" i="8"/>
  <c r="T50" i="8"/>
  <c r="AE50" i="8" s="1"/>
  <c r="T9" i="8"/>
  <c r="AE101" i="8"/>
  <c r="R28" i="8"/>
  <c r="T28" i="8" s="1"/>
  <c r="AE28" i="8" s="1"/>
  <c r="R88" i="8"/>
  <c r="T88" i="8" s="1"/>
  <c r="AE88" i="8" s="1"/>
  <c r="R18" i="8"/>
  <c r="T18" i="8" s="1"/>
  <c r="R130" i="8" l="1"/>
  <c r="AE9" i="8"/>
  <c r="T130" i="8"/>
  <c r="AE18" i="8"/>
  <c r="AE130" i="8" l="1"/>
  <c r="Q71" i="5"/>
  <c r="P71" i="5"/>
  <c r="M71" i="5"/>
  <c r="L71" i="5"/>
  <c r="K71" i="5"/>
  <c r="I71" i="5"/>
  <c r="AF70" i="5"/>
  <c r="AF69" i="5"/>
  <c r="AF68" i="5"/>
  <c r="AF67" i="5"/>
  <c r="AI66" i="5"/>
  <c r="AF66" i="5"/>
  <c r="AI65" i="5"/>
  <c r="AF65" i="5"/>
  <c r="AG65" i="5" s="1"/>
  <c r="V65" i="5"/>
  <c r="W65" i="5" s="1"/>
  <c r="R65" i="5"/>
  <c r="N65" i="5"/>
  <c r="AF64" i="5"/>
  <c r="AF63" i="5"/>
  <c r="AF62" i="5"/>
  <c r="AF61" i="5"/>
  <c r="AF60" i="5"/>
  <c r="AI59" i="5"/>
  <c r="AF59" i="5"/>
  <c r="X59" i="5"/>
  <c r="O59" i="5"/>
  <c r="V59" i="5" s="1"/>
  <c r="N59" i="5"/>
  <c r="AF58" i="5"/>
  <c r="AI57" i="5"/>
  <c r="AF57" i="5"/>
  <c r="AI56" i="5"/>
  <c r="AF56" i="5"/>
  <c r="AG56" i="5" s="1"/>
  <c r="X56" i="5"/>
  <c r="W56" i="5"/>
  <c r="Y56" i="5" s="1"/>
  <c r="V56" i="5"/>
  <c r="AF55" i="5"/>
  <c r="AF54" i="5"/>
  <c r="AF53" i="5"/>
  <c r="AI52" i="5"/>
  <c r="AF52" i="5"/>
  <c r="AI51" i="5"/>
  <c r="AG51" i="5"/>
  <c r="AF51" i="5"/>
  <c r="AF50" i="5"/>
  <c r="AF49" i="5"/>
  <c r="AI48" i="5"/>
  <c r="AF48" i="5"/>
  <c r="N48" i="5"/>
  <c r="AF47" i="5"/>
  <c r="AI46" i="5"/>
  <c r="AF46" i="5"/>
  <c r="AI45" i="5"/>
  <c r="AF45" i="5"/>
  <c r="AG45" i="5" s="1"/>
  <c r="X45" i="5"/>
  <c r="O45" i="5"/>
  <c r="R45" i="5" s="1"/>
  <c r="AF44" i="5"/>
  <c r="AF43" i="5"/>
  <c r="AF42" i="5"/>
  <c r="AF41" i="5"/>
  <c r="AF40" i="5"/>
  <c r="AG40" i="5" s="1"/>
  <c r="AI39" i="5"/>
  <c r="AF39" i="5"/>
  <c r="AI38" i="5"/>
  <c r="AF38" i="5"/>
  <c r="AG38" i="5" s="1"/>
  <c r="O38" i="5"/>
  <c r="R38" i="5" s="1"/>
  <c r="N38" i="5"/>
  <c r="AI37" i="5"/>
  <c r="AF37" i="5"/>
  <c r="AI36" i="5"/>
  <c r="AF36" i="5"/>
  <c r="AG36" i="5" s="1"/>
  <c r="N36" i="5"/>
  <c r="AF35" i="5"/>
  <c r="AF34" i="5"/>
  <c r="AF33" i="5"/>
  <c r="AF32" i="5"/>
  <c r="AI31" i="5"/>
  <c r="AF31" i="5"/>
  <c r="AI30" i="5"/>
  <c r="AF30" i="5"/>
  <c r="O30" i="5"/>
  <c r="V30" i="5" s="1"/>
  <c r="N30" i="5"/>
  <c r="AF29" i="5"/>
  <c r="AG29" i="5" s="1"/>
  <c r="N29" i="5"/>
  <c r="AI28" i="5"/>
  <c r="AF28" i="5"/>
  <c r="AG28" i="5" s="1"/>
  <c r="N28" i="5"/>
  <c r="AF27" i="5"/>
  <c r="AI26" i="5"/>
  <c r="AF26" i="5"/>
  <c r="AI25" i="5"/>
  <c r="AF25" i="5"/>
  <c r="AG25" i="5" s="1"/>
  <c r="V25" i="5"/>
  <c r="O25" i="5"/>
  <c r="N25" i="5"/>
  <c r="AI24" i="5"/>
  <c r="AF24" i="5"/>
  <c r="AI23" i="5"/>
  <c r="AG23" i="5"/>
  <c r="AF23" i="5"/>
  <c r="AF22" i="5"/>
  <c r="AI21" i="5"/>
  <c r="AF21" i="5"/>
  <c r="AG21" i="5" s="1"/>
  <c r="O21" i="5"/>
  <c r="V21" i="5" s="1"/>
  <c r="N21" i="5"/>
  <c r="AF20" i="5"/>
  <c r="AF19" i="5"/>
  <c r="AG19" i="5" s="1"/>
  <c r="N19" i="5"/>
  <c r="AF18" i="5"/>
  <c r="AF17" i="5"/>
  <c r="AI16" i="5"/>
  <c r="AF16" i="5"/>
  <c r="AI15" i="5"/>
  <c r="AF15" i="5"/>
  <c r="AI14" i="5"/>
  <c r="AF14" i="5"/>
  <c r="O14" i="5"/>
  <c r="O71" i="5" s="1"/>
  <c r="N14" i="5"/>
  <c r="AF13" i="5"/>
  <c r="AF12" i="5"/>
  <c r="AI11" i="5"/>
  <c r="AF11" i="5"/>
  <c r="V11" i="5"/>
  <c r="W11" i="5" s="1"/>
  <c r="R11" i="5"/>
  <c r="N11" i="5"/>
  <c r="AF10" i="5"/>
  <c r="AF9" i="5"/>
  <c r="AI8" i="5"/>
  <c r="AG8" i="5"/>
  <c r="AF8" i="5"/>
  <c r="W8" i="5"/>
  <c r="V8" i="5"/>
  <c r="N8" i="5"/>
  <c r="N71" i="5" s="1"/>
  <c r="X6" i="5"/>
  <c r="X65" i="5" s="1"/>
  <c r="W6" i="5"/>
  <c r="AG30" i="5" l="1"/>
  <c r="AG59" i="5"/>
  <c r="AG11" i="5"/>
  <c r="AG14" i="5"/>
  <c r="R30" i="5"/>
  <c r="Y65" i="5"/>
  <c r="AH56" i="5"/>
  <c r="X14" i="5"/>
  <c r="X21" i="5"/>
  <c r="X25" i="5"/>
  <c r="X38" i="5"/>
  <c r="AG48" i="5"/>
  <c r="AG71" i="5" s="1"/>
  <c r="W30" i="5"/>
  <c r="V14" i="5"/>
  <c r="V38" i="5"/>
  <c r="V45" i="5"/>
  <c r="X8" i="5"/>
  <c r="X11" i="5"/>
  <c r="Y11" i="5" s="1"/>
  <c r="AH11" i="5" s="1"/>
  <c r="R14" i="5"/>
  <c r="W21" i="5"/>
  <c r="Y21" i="5" s="1"/>
  <c r="AH21" i="5" s="1"/>
  <c r="W25" i="5"/>
  <c r="X30" i="5"/>
  <c r="Y30" i="5" s="1"/>
  <c r="AH30" i="5" s="1"/>
  <c r="W59" i="5"/>
  <c r="Y59" i="5" s="1"/>
  <c r="AH59" i="5" l="1"/>
  <c r="Y25" i="5"/>
  <c r="AH25" i="5" s="1"/>
  <c r="X71" i="5"/>
  <c r="W38" i="5"/>
  <c r="Y38" i="5" s="1"/>
  <c r="AH38" i="5" s="1"/>
  <c r="Y8" i="5"/>
  <c r="W45" i="5"/>
  <c r="Y45" i="5" s="1"/>
  <c r="AH45" i="5" s="1"/>
  <c r="W14" i="5"/>
  <c r="Y14" i="5" s="1"/>
  <c r="AH14" i="5" s="1"/>
  <c r="V71" i="5"/>
  <c r="W71" i="5" l="1"/>
  <c r="Y71" i="5"/>
  <c r="AH8" i="5"/>
  <c r="AH71" i="5" s="1"/>
</calcChain>
</file>

<file path=xl/comments1.xml><?xml version="1.0" encoding="utf-8"?>
<comments xmlns="http://schemas.openxmlformats.org/spreadsheetml/2006/main">
  <authors>
    <author>V</author>
  </authors>
  <commentList>
    <comment ref="AB13" authorId="0" shapeId="0">
      <text>
        <r>
          <rPr>
            <b/>
            <sz val="9"/>
            <color indexed="81"/>
            <rFont val="Tahoma"/>
            <family val="2"/>
          </rPr>
          <t>V:</t>
        </r>
        <r>
          <rPr>
            <sz val="9"/>
            <color indexed="81"/>
            <rFont val="Tahoma"/>
            <family val="2"/>
          </rPr>
          <t xml:space="preserve">
</t>
        </r>
      </text>
    </comment>
  </commentList>
</comments>
</file>

<file path=xl/comments2.xml><?xml version="1.0" encoding="utf-8"?>
<comments xmlns="http://schemas.openxmlformats.org/spreadsheetml/2006/main">
  <authors>
    <author>Administrator</author>
  </authors>
  <commentList>
    <comment ref="O9" authorId="0" shapeId="0">
      <text>
        <r>
          <rPr>
            <b/>
            <sz val="9"/>
            <color indexed="81"/>
            <rFont val="Tahoma"/>
            <family val="2"/>
          </rPr>
          <t>Administrator:</t>
        </r>
        <r>
          <rPr>
            <sz val="9"/>
            <color indexed="81"/>
            <rFont val="Tahoma"/>
            <family val="2"/>
          </rPr>
          <t xml:space="preserve">
Kiểm tra nhân khẩu
</t>
        </r>
      </text>
    </comment>
    <comment ref="O88" authorId="0" shapeId="0">
      <text>
        <r>
          <rPr>
            <b/>
            <sz val="9"/>
            <color indexed="81"/>
            <rFont val="Tahoma"/>
            <family val="2"/>
          </rPr>
          <t>Administrator:</t>
        </r>
        <r>
          <rPr>
            <sz val="9"/>
            <color indexed="81"/>
            <rFont val="Tahoma"/>
            <family val="2"/>
          </rPr>
          <t xml:space="preserve">
Kiểm tra nhân khẩu
</t>
        </r>
      </text>
    </comment>
  </commentList>
</comments>
</file>

<file path=xl/comments3.xml><?xml version="1.0" encoding="utf-8"?>
<comments xmlns="http://schemas.openxmlformats.org/spreadsheetml/2006/main">
  <authors>
    <author>Administrator</author>
  </authors>
  <commentList>
    <comment ref="O10" authorId="0" shapeId="0">
      <text>
        <r>
          <rPr>
            <b/>
            <sz val="9"/>
            <color indexed="81"/>
            <rFont val="Tahoma"/>
            <family val="2"/>
          </rPr>
          <t>Administrator:</t>
        </r>
        <r>
          <rPr>
            <sz val="9"/>
            <color indexed="81"/>
            <rFont val="Tahoma"/>
            <family val="2"/>
          </rPr>
          <t xml:space="preserve">
Kiểm tra nhân khẩu
</t>
        </r>
      </text>
    </comment>
    <comment ref="O91" authorId="0" shapeId="0">
      <text>
        <r>
          <rPr>
            <b/>
            <sz val="9"/>
            <color indexed="81"/>
            <rFont val="Tahoma"/>
            <family val="2"/>
          </rPr>
          <t>Administrator:</t>
        </r>
        <r>
          <rPr>
            <sz val="9"/>
            <color indexed="81"/>
            <rFont val="Tahoma"/>
            <family val="2"/>
          </rPr>
          <t xml:space="preserve">
Kiểm tra nhân khẩu
</t>
        </r>
      </text>
    </comment>
  </commentList>
</comments>
</file>

<file path=xl/sharedStrings.xml><?xml version="1.0" encoding="utf-8"?>
<sst xmlns="http://schemas.openxmlformats.org/spreadsheetml/2006/main" count="1007" uniqueCount="251">
  <si>
    <t>Ghi chú</t>
  </si>
  <si>
    <t>Loại đất</t>
  </si>
  <si>
    <t>BHK</t>
  </si>
  <si>
    <t>STT</t>
  </si>
  <si>
    <t>Họ Tên</t>
  </si>
  <si>
    <t>Số nhân khẩu chia ruộng</t>
  </si>
  <si>
    <t>Tỷ lệ % thu hồi</t>
  </si>
  <si>
    <t>Số tháng hỗ trợ</t>
  </si>
  <si>
    <t>Số nhân khẩu hỗ trợ gạo</t>
  </si>
  <si>
    <t>Kinh phí bồi thường, hỗ trợ đối với phần diện tích thu hồi</t>
  </si>
  <si>
    <t>Tổng kinh phí (đồng)</t>
  </si>
  <si>
    <t>Theo BBXD nguồn gốc đất</t>
  </si>
  <si>
    <t>Tờ BD</t>
  </si>
  <si>
    <t>Thửa</t>
  </si>
  <si>
    <t xml:space="preserve"> Diện Tích theo TBTH</t>
  </si>
  <si>
    <t>Diện tích tiêu chuẩn tại thửa</t>
  </si>
  <si>
    <t>DT theo GCN</t>
  </si>
  <si>
    <t>Diện tích đất công ích của xã</t>
  </si>
  <si>
    <t>Tổng diện tích đất thu hồi (m2)</t>
  </si>
  <si>
    <t>Tổng diện tích sử dụng đất nông nghiệp (m2)</t>
  </si>
  <si>
    <t>Đơn giá (đ/m2)</t>
  </si>
  <si>
    <t>Kinh phí bồi thường về đất (đồng)</t>
  </si>
  <si>
    <t>Kinh phí hỗ trợ chuyển đổi nghề (3x80.000)</t>
  </si>
  <si>
    <t>Kinh phí hỗ trợ ổn đời sống (17.000đ/1kg)</t>
  </si>
  <si>
    <t>Tổng kinh phí bồi thường, hỗ trợ về đất</t>
  </si>
  <si>
    <t>Tên cây trồng, hoa màu, công trình, vật kiến trúc bị ảnh hưởng</t>
  </si>
  <si>
    <t>Đơn vị tính</t>
  </si>
  <si>
    <t>Số lượng</t>
  </si>
  <si>
    <t>Đơn giá (đồng)</t>
  </si>
  <si>
    <t>Khấu hao</t>
  </si>
  <si>
    <t>Hệ số tính (%)</t>
  </si>
  <si>
    <t>Thành tiền (đồng)</t>
  </si>
  <si>
    <t>Tổng kinh phí bồi thường, hỗ trợ cây trồng, hoa màu, công trình (đồng)</t>
  </si>
  <si>
    <t>27=26+18</t>
  </si>
  <si>
    <t>đồng/cây</t>
  </si>
  <si>
    <t>Giếng khoan</t>
  </si>
  <si>
    <t>Giếng</t>
  </si>
  <si>
    <t>Nhãn giống</t>
  </si>
  <si>
    <t>đồng/m²</t>
  </si>
  <si>
    <t>m²</t>
  </si>
  <si>
    <t>Theo thông báo thu hồi đất</t>
  </si>
  <si>
    <t>Thông tin thửa đất thu hồi</t>
  </si>
  <si>
    <t>Kinh phí bồi thường, hỗ trợ đối với cây trồng, hoa màu, công trình, vật kiến trúc bị ảnh hưởng</t>
  </si>
  <si>
    <t>Tường rào xây gạch bổ trụ 220, tường xây 110, trát vữa XM, quét vôi ve, cao ≤ 2,5m</t>
  </si>
  <si>
    <t>Cây nhãn ĐK gốc từ 30 cm trở lên</t>
  </si>
  <si>
    <t>Cây bưởi ĐK gốc 12cm ≤ Φ &lt;20cm</t>
  </si>
  <si>
    <t>Tổng</t>
  </si>
  <si>
    <t>Cây bưởi ĐK gốc 8cm ≤ Φ &lt;12cm</t>
  </si>
  <si>
    <t>Đếm lại số cây nhãn giống</t>
  </si>
  <si>
    <t>đồng/khóm</t>
  </si>
  <si>
    <t>Cây trồng xen thứ 2 ko tính</t>
  </si>
  <si>
    <t>Cây trồng chính không đủ mật độ</t>
  </si>
  <si>
    <t>XÓM 6</t>
  </si>
  <si>
    <t>XÓM 7</t>
  </si>
  <si>
    <t>Đỗ Bá Mậu, Đỗ Thị Hà</t>
  </si>
  <si>
    <t>cây</t>
  </si>
  <si>
    <t>Cây nhãn ĐK gốc từ 30 cm trở lên (vượt mật độ 30%)</t>
  </si>
  <si>
    <t>Cây nhãn ĐK gốc từ 30 cm trở lên (vượt mật độ&gt;30% )</t>
  </si>
  <si>
    <t>Đỗ Bá Tảng (đại diện cho bà Đỗ Thị Năm đã chết)</t>
  </si>
  <si>
    <t>Cây bưởi ĐK gốc 12cm ≤ Φ &lt;20cm (vượt mật độ 30%)</t>
  </si>
  <si>
    <t>Cây nhãn 12cm ≤ ĐK gốc &lt;20cm (vượt mật độ)</t>
  </si>
  <si>
    <t>Đỗ Đình Chính, Đỗ Thị Yến</t>
  </si>
  <si>
    <t>Cây nhãn 20cm ≤ ĐK gốc &lt;30cm</t>
  </si>
  <si>
    <t>Cây trông chính chưa đủ mật độ</t>
  </si>
  <si>
    <t xml:space="preserve"> Nguyễn Thị Vinh (Hạnh)</t>
  </si>
  <si>
    <t>Cây nhãn 20cm ≤ ĐK gốc &lt;30cm (vượt mật độ cây trồng chính)</t>
  </si>
  <si>
    <t>Hoa lily</t>
  </si>
  <si>
    <t>Nguyễn Đức Ba, Đỗ Thị Bốn</t>
  </si>
  <si>
    <t>Cây bưởi ĐK gốc &gt; 20 cm</t>
  </si>
  <si>
    <t>Có xứ đồng Bạng, hỏi lại xem đã bán cho lò gạch chưa</t>
  </si>
  <si>
    <t>Rau màu các loại</t>
  </si>
  <si>
    <t>lều, lán, tưởng rào, rãnh thoát nước….</t>
  </si>
  <si>
    <t>Nguyễn Đức Cảnh, Nguyễn Thị Thụ</t>
  </si>
  <si>
    <t>Trong 2368m2 có 568.8m2 ở xứ đồng Bạng đã bán cho lò gạch. Thống nhất lại cách tính tổng diện tích đất nông nghiệp đang sử dụng</t>
  </si>
  <si>
    <t>Cây nhãn 20cm ≤ ĐK gốc &lt;30cm (vượt mật độ 30%)</t>
  </si>
  <si>
    <t>Cây nhãn 12cm ≤ ĐK gốc &lt;20cm ( vượt mật độ &gt;30 )</t>
  </si>
  <si>
    <t>Cây trồng chính chưa đủ mật độ</t>
  </si>
  <si>
    <t>Khóm chuối có cây có buồng quả (60 cây có buồng quả)</t>
  </si>
  <si>
    <t>Khóm chuối không có buồng quả (21 cây)</t>
  </si>
  <si>
    <t>Khóm chuối không có buồng quả (9 cây)</t>
  </si>
  <si>
    <t>Bá Thị Hiểu (Sinh)</t>
  </si>
  <si>
    <t>Cây nhãn ĐK gốc 20cm ≤ Φ &lt;30cm</t>
  </si>
  <si>
    <t>Cây nhãn ĐK gốc 12cm ≤ Φ &lt;20cm</t>
  </si>
  <si>
    <t>Khóm chuối có cây có buồng quả (70 cây có buồng quả)</t>
  </si>
  <si>
    <t>Nguyễn Đức Tám</t>
  </si>
  <si>
    <t>Cây bưởi ĐK gốc từ 20 cm trở lên</t>
  </si>
  <si>
    <t>Nhận tặng cho từ mẹ là Bá Thị Hiểu (Sinh)</t>
  </si>
  <si>
    <t>Cây bưởi ĐK gốc từ 20 cm trở lên ( vượt mật độ 30%)</t>
  </si>
  <si>
    <t>Cây nhãn ĐK gốc từ 30 cm trở lên ( vượt mật độ 30%)</t>
  </si>
  <si>
    <t>Cây na 2cm ≤ ĐK gốc &lt;7cm ( vượt mật độ)</t>
  </si>
  <si>
    <t>Cây thứ 2 ko tính</t>
  </si>
  <si>
    <t>Sung 7cm ≤ ĐK gốc &lt;12cm ( vượt mật độ)</t>
  </si>
  <si>
    <t>Cây Hồng xiêm 7cm ≤ ĐK gốc &lt;12cm</t>
  </si>
  <si>
    <t xml:space="preserve">Cây quất ĐK gốc 2cm ≤ Φ &lt;7cm </t>
  </si>
  <si>
    <t>Cây thứ 3 ko tính</t>
  </si>
  <si>
    <t>Cây na 7cm ≤ ĐK gốc &lt;12cm (vượt mật độ)</t>
  </si>
  <si>
    <t>Khóm chuối có cây có buồng quả (20 cây có buồng quả)</t>
  </si>
  <si>
    <r>
      <t>DỰ THẢO PHƯƠNG ÁN CHI TIẾT BỒI THƯỜNG, HỖ TRỢ KHI NHÀ NƯỚC THU HỒI ĐẤT THỰC HIỆN DỰ ÁN KHU PHỨC HỢP ĐÔ THỊ DU LỊCH SINH THÁI, SÂN GÔN KHOÁI CHÂU, TỈNH HƯNG YÊN
(</t>
    </r>
    <r>
      <rPr>
        <b/>
        <i/>
        <sz val="13.5"/>
        <color theme="1"/>
        <rFont val="Times New Roman"/>
        <family val="1"/>
      </rPr>
      <t>Kèm theo Thông báo niêm yết số:        /TB-TTPTQĐ 01 ngày              /           /2026 của Trung tâm Phát triển quỹ đất số 01</t>
    </r>
    <r>
      <rPr>
        <b/>
        <sz val="13.5"/>
        <color theme="1"/>
        <rFont val="Times New Roman"/>
        <family val="1"/>
      </rPr>
      <t>)</t>
    </r>
  </si>
  <si>
    <t>Họ tên chủ sử dụng</t>
  </si>
  <si>
    <t>Họ và tên nhân khẩu được giao ruộng</t>
  </si>
  <si>
    <t>Họ và tên chủ sử dụng đất hoặc người thừa kế hợp pháp (theo hiện trạng và sổ giao ruộng)</t>
  </si>
  <si>
    <t>Theo thông báo THĐ</t>
  </si>
  <si>
    <t>Theo BBXD nguồn gốc đất (2003)</t>
  </si>
  <si>
    <t>GHI Chú (tổng số thửa đất)</t>
  </si>
  <si>
    <t>GCN</t>
  </si>
  <si>
    <t>So sánh GCN với DT giao</t>
  </si>
  <si>
    <t>(1)</t>
  </si>
  <si>
    <t>(2)</t>
  </si>
  <si>
    <t>(3)</t>
  </si>
  <si>
    <t>(4)</t>
  </si>
  <si>
    <t>(5)</t>
  </si>
  <si>
    <t>(6)</t>
  </si>
  <si>
    <t>(7)</t>
  </si>
  <si>
    <t>(8)</t>
  </si>
  <si>
    <t>(9)</t>
  </si>
  <si>
    <t>(10)</t>
  </si>
  <si>
    <t>(11)</t>
  </si>
  <si>
    <t>(12)</t>
  </si>
  <si>
    <t>(13)</t>
  </si>
  <si>
    <t>(14)</t>
  </si>
  <si>
    <t>(15)</t>
  </si>
  <si>
    <t>(16)</t>
  </si>
  <si>
    <t>(17)</t>
  </si>
  <si>
    <t>(18)=(15)+..+(17)</t>
  </si>
  <si>
    <t>(19)</t>
  </si>
  <si>
    <t>(20)</t>
  </si>
  <si>
    <t>(21)</t>
  </si>
  <si>
    <t>(22)</t>
  </si>
  <si>
    <t>(23)</t>
  </si>
  <si>
    <t>(24)</t>
  </si>
  <si>
    <t>(25)</t>
  </si>
  <si>
    <t>(26)</t>
  </si>
  <si>
    <t>(27)=(18)+(26)</t>
  </si>
  <si>
    <t>Đỗ Bá Mậu</t>
  </si>
  <si>
    <t>1T</t>
  </si>
  <si>
    <t xml:space="preserve"> Đỗ Thị Năm (chết), Đỗ Thị Minh Thủy, …..(Liệt sỹ)</t>
  </si>
  <si>
    <t>Đỗ Bá Tảng; là người hưởng thừa kế hợp pháp của bà Đỗ Thị Năm (mẹ ông Tảng) đồng thời là người thờ cúng bố là liệt sỹ;
Đỗ Thị Minh Thủy</t>
  </si>
  <si>
    <t xml:space="preserve"> Đỗ Bá Vũ, Nguyễn Thị Phúc</t>
  </si>
  <si>
    <t>Đỗ Bá Vũ, 
Nguyễn Thị Phúc, 
Đỗ Thị Duyên, 
Đỗ Thị Phượng, 
Đỗ Thị Son</t>
  </si>
  <si>
    <t>Cây đu đủ cao ≥ 0,5m, đang có quả</t>
  </si>
  <si>
    <t>Cây chuối ĐK gốc ≥ 10cm</t>
  </si>
  <si>
    <t>Xác định lại số khóm chuối</t>
  </si>
  <si>
    <t>Cây chuối ĐK gốc ≥ 10cm (vượt mật độ)</t>
  </si>
  <si>
    <t>Đỗ Đình Chính, 
Đỗ Thị Yến</t>
  </si>
  <si>
    <t>Lê Văn Hạnh (chết), Nguyễn Thị Vinh, Lê Thị Hoa, Lê Thị Thùy</t>
  </si>
  <si>
    <t>Nguyễn Thị Vinh,
 Lê Thị Hoa, 
Lê Thị Thùy là những người thừa kế hợp pháp của ông Lê Văn Hạnh (chết)</t>
  </si>
  <si>
    <t>Nguyễn Đức Ba, 
Đỗ Thị Bốn, 
Nguyễn Thị Huyền, Nguyễn Thị Hà,
Nguyễn Thị Hải, 
Nguyễn Đức Hưng, Nguyễn Thị Bảy</t>
  </si>
  <si>
    <r>
      <t>m</t>
    </r>
    <r>
      <rPr>
        <vertAlign val="superscript"/>
        <sz val="9"/>
        <color indexed="8"/>
        <rFont val="Times New Roman"/>
        <family val="1"/>
      </rPr>
      <t>2</t>
    </r>
  </si>
  <si>
    <t>Nguyễn Đức Bùi, Đỗ Thị Xiêm</t>
  </si>
  <si>
    <t>Nguyễn Đức Bùi, 
Lê Thị Xiêm, 
Nguyễn Đức Phóng, 
Nguyễn Thị Cảnh, 
Nguyễn Thị Hạ</t>
  </si>
  <si>
    <t>Cây chuối ĐK gốc ≥ 10cm (vượt mật độ 30%)</t>
  </si>
  <si>
    <t>Cây chuối ĐK gốc ≥ 10cm (vượt mật độ &gt;30%)</t>
  </si>
  <si>
    <t>Cây chuối ĐK gốc &lt; 10cm (vượt mật độ &gt;30%)</t>
  </si>
  <si>
    <t>Nguyễn Đức Cảnh, 
Nguyễn Thị Thụ, 
Nguyễn Thị Thao, 
Nguyễn Đức Quân, 
Nguyễn Thị Phương, 
Nguyễn Thị Hương, 
Nguyễn Đức Ngũ</t>
  </si>
  <si>
    <t>Nguyễn Đức Sinh (chết), Bá Thị Hiểu</t>
  </si>
  <si>
    <t>Bá Thị Hiểu;
Nguyễn Đức Cành
Nguyễn Đức Tám
Nguyễn Thị Phúc
Nguyễn Thị Lộc
Nguyễn Thị Cạy
Nguyễn Thị Mến
Nguyễn Thị Luyện là những người thừa kế hợp pháp của ông Nguyễn Đức Sinh (chết)</t>
  </si>
  <si>
    <t>Mật độ chuẩn (m2/cây)</t>
  </si>
  <si>
    <t>Số lượng cây theo mật độ chuẩn cho phép (cây)</t>
  </si>
  <si>
    <t>- Trong mật độ</t>
  </si>
  <si>
    <t>Cây trồng chuyên canh vượt mật độ</t>
  </si>
  <si>
    <t>1. Hoa lily</t>
  </si>
  <si>
    <t>11</t>
  </si>
  <si>
    <t xml:space="preserve">1. Cây nhãn ĐK gốc &gt; 30cm </t>
  </si>
  <si>
    <t>2. Giếng khoan</t>
  </si>
  <si>
    <t>- Vượt mật độ ≤ 30%</t>
  </si>
  <si>
    <t>- Vượt mật độ &gt; 30%</t>
  </si>
  <si>
    <t xml:space="preserve">2. Cây nhãn ĐK gốc 20cm ≤ ĐK ≤ 30cm </t>
  </si>
  <si>
    <t xml:space="preserve">2. Cây nhãn ĐK gốc 20cm ≤ ĐK ≤30cm </t>
  </si>
  <si>
    <t>3. Cây bưởi ĐK gốc 12cm ≤ ĐK ≤ 20cm (cây trồng xen)</t>
  </si>
  <si>
    <t>2. Cây bưởi ĐK gốc 8cm ≤ ĐK &lt;12cm (cây trồng xen)</t>
  </si>
  <si>
    <t>Nguồn gốc</t>
  </si>
  <si>
    <t>Giao theo NQ 03</t>
  </si>
  <si>
    <t>1. Cây nhãn ĐK gốc &gt; 30cm</t>
  </si>
  <si>
    <t>Cây trồng chính thiếu mật độ</t>
  </si>
  <si>
    <t>3. Khóm chuối có cây có buồng quả (cây trồng xen)</t>
  </si>
  <si>
    <t>1. Nhãn giống</t>
  </si>
  <si>
    <t>Cây trồng chính thừa mật độ</t>
  </si>
  <si>
    <t xml:space="preserve">1. Cây bưởi ĐK gốc 12cm ≤ ĐK ≤ 20cm </t>
  </si>
  <si>
    <t>2. Khóm chuối có cây có buồng quả (cây trồng xen)</t>
  </si>
  <si>
    <t>4. Cây bưởi ĐK gốc 8cm ≤ ĐK &lt; 12cm  (cây trồng xen)</t>
  </si>
  <si>
    <t>Cây chuyên canh vượt
 mật độ</t>
  </si>
  <si>
    <t>Cây trồng chính đủ mật
 độ</t>
  </si>
  <si>
    <t>Cây trồng chính không 
đủ mật độ</t>
  </si>
  <si>
    <t>Cây trồng chính không
 đủ mật độ</t>
  </si>
  <si>
    <t>1. Cây bưởi ĐK gốc 12cm ≤ ĐK ≤20cm</t>
  </si>
  <si>
    <t>2. Cây bưởi ĐK gốc 8cm ≤ ĐK &lt;12cm</t>
  </si>
  <si>
    <t>Số CCCD</t>
  </si>
  <si>
    <t>Bá Thị Ngọt</t>
  </si>
  <si>
    <t>2. Quất giống</t>
  </si>
  <si>
    <t>Đỗ Trọng Vinh; Lê Thị  Thoa</t>
  </si>
  <si>
    <t>Đỗ Đình Sơn, Đỗ Thị Chính</t>
  </si>
  <si>
    <t>Đỗ Thị Tươi</t>
  </si>
  <si>
    <t xml:space="preserve">3. Cây nhãn ĐK gốc 12cm ≤ ĐK&lt;20cm </t>
  </si>
  <si>
    <t>4. Cây bưởi 12cm ≤ ĐK&lt;20cm (cây trồng xen)</t>
  </si>
  <si>
    <t>5. Cây bưởi ĐK gốc 8cm ≤ ĐK &lt;12cm (cây trồng xen)</t>
  </si>
  <si>
    <t>6. Cây mít 15cm&lt; ĐK ≤ 25 cm(cây trồng xen)</t>
  </si>
  <si>
    <t>3. Cây hồng xiêm 7cm ≤ ĐK&lt;12cm (cây trồng xen)</t>
  </si>
  <si>
    <t>1. Cây bưởi 12cm ≤ ĐK&lt;20cm (cây trồng xen)</t>
  </si>
  <si>
    <t>Trọng Thị An</t>
  </si>
  <si>
    <t>3. Cây bưởi ĐK&gt;20cm (cây trồng xen)</t>
  </si>
  <si>
    <t>Đỗ Như Tiến; Đỗ Thị Nhâm ( nhận chuyển nhượng của ô Ngọ Ban đã sang sổ)</t>
  </si>
  <si>
    <t>Đỗ Như Tiến; Đỗ Thị Nhâm ( nhận chuyển nhượng của ô Long đã sang sổ)</t>
  </si>
  <si>
    <t>5. Bể nước đáy đổ BTCT, thành bể xây gạch, không nắp đậy BTCT: (4mx2.5mx1.6m)</t>
  </si>
  <si>
    <t>4. Hệ thống tưới tiêu bằng ống nhựa phi 20 dài 200m</t>
  </si>
  <si>
    <t>Đỗ Văn Tảo,Nguyễn Thị Thắng</t>
  </si>
  <si>
    <t>5. Cây hồng xiêm ĐK gốc 7cm  ≤ ĐK&lt;12cm (cây trồng xen)</t>
  </si>
  <si>
    <t>6. Cây mít ĐK gốc 15cm&lt; ĐK ≤ 25 cm(cây trồng xen)</t>
  </si>
  <si>
    <t>7. Cây chanh ĐK gốc 2cm≤ĐK&lt; 7 cm(cây trồng xen)</t>
  </si>
  <si>
    <t>8. Cây na ĐK gốc 7cm≤ĐK&lt; 12 cm(cây trồng xen)</t>
  </si>
  <si>
    <t>9. Cây vú sữa ĐK gốc 5cm≤ĐK&lt; 8 cm(cây trồng xen)</t>
  </si>
  <si>
    <t>10. Cây cam ĐK gốc 8cm≤ĐK&lt; 12 cm(cây trồng xen)</t>
  </si>
  <si>
    <t>11. Cây dong</t>
  </si>
  <si>
    <t>12. Giếng khoan</t>
  </si>
  <si>
    <t>13. Lều lán, tường chịu lực xây gạch 110, nền lót vữa XM, trát tường và quét vôi ve (5x3m), cao 2.7m</t>
  </si>
  <si>
    <t>14. Cột bê tông, trát vữa XM, quét vôi ve: 80 cái (0.1x0.1), cao 1.5m</t>
  </si>
  <si>
    <t>15. Tường rào xây gạch bổ trụ 220, tường xây 110, trát vữa XM, quét vôi ve (22x2m)</t>
  </si>
  <si>
    <t>16. Sân bê tông dày 100, mác 200</t>
  </si>
  <si>
    <t xml:space="preserve">1. Cây cam ĐK gốc 8cm ≤ ĐK &lt;12cm </t>
  </si>
  <si>
    <t>Trần Bá Hải ( Nhận chuyển nhượng của Lê Thị Lương  )</t>
  </si>
  <si>
    <t>Nguyễn Thị Linh ( Nhận tặng cho của ông Nguyễn Đức Lung (chết)</t>
  </si>
  <si>
    <t>Cây trồng chuyên canh không
 đủ mật độ</t>
  </si>
  <si>
    <t>Nguyễn Đức Tung; Đỗ Thị Lan</t>
  </si>
  <si>
    <t>Cây trồng chuyên canh thừa mật độ</t>
  </si>
  <si>
    <t>Cây trồng chính thừa
 mật độ</t>
  </si>
  <si>
    <t xml:space="preserve">Đỗ Thị Vườn </t>
  </si>
  <si>
    <t>Đỗ Trọng Thêm; Đỗ Thị Hiền (Nguyễn Đức Thức thầu ruộng)</t>
  </si>
  <si>
    <t>3. Giếng khoan</t>
  </si>
  <si>
    <t>4. Tường rào xây gạch bổ trụ 220, tường xây 110, trát vữa XM, quét vôi ve, cao 0.8 m, dài 160 m</t>
  </si>
  <si>
    <t>4. Giếng khoan</t>
  </si>
  <si>
    <t>3. Lều: 2.0mx3m, cao 2.5m,  mái fibrôximăng, tường gạch đỏ 110, nền BTXM</t>
  </si>
  <si>
    <t>4. Tường rào xây gạch bổ trụ 220, tường xây 110, trát vữa XM, quét vôi ve, cao ≤ 2,5m: 200mx1.0m</t>
  </si>
  <si>
    <t>5. Cánh cổng: 2.6x2.3m</t>
  </si>
  <si>
    <t>6. Tường rào xây gạch bổ trụ 220, tường xây 110, trát vữa XM, quét vôi ve, cao ≤ 2,5m: (55mx1.0m)</t>
  </si>
  <si>
    <t>7. Rãnh thoát nước xây gạch 110, có nắp đậy BTCT, rộng B ≤300: dài 70x0.5m, sâu 0.5m</t>
  </si>
  <si>
    <t>8. Bể nước đáy đổ BTCT, thành bể xây gạch, không nắp đậy BTCT: (2mx3mx1.0m)</t>
  </si>
  <si>
    <t>3. Nhà màng kích thước: 43.6mx28.2m, cao 4.8mx4</t>
  </si>
  <si>
    <t>3. Tường rào xây gạch bổ trụ 220, tường xây 110, trát vữa XM, quét vôi ve, cao ≤ 2,5m ( 232.27x1.2m)</t>
  </si>
  <si>
    <t>3. Hàng rào lưới B40 có khung thép (23x1.3m)</t>
  </si>
  <si>
    <t>3. Tường rào xây gạch bổ trụ 220, tường xây 110, trát vữa XM, quét vôi ve, cao ≤ 2,5m (54x0.4m)x2</t>
  </si>
  <si>
    <t>đồng/m³</t>
  </si>
  <si>
    <t>1. Cây bưởi ĐK gốc từ &gt;20cm</t>
  </si>
  <si>
    <t>2. Rau các loại</t>
  </si>
  <si>
    <t>1. Cây bưởi ĐK gốc 12cm ≤ ĐK ≤ 20cm (cây trồng chính)</t>
  </si>
  <si>
    <t>2. Cây bưởi ĐK gốc 8cm ≤ ĐK &lt; 12cm</t>
  </si>
  <si>
    <t xml:space="preserve">- Vượt mật độ </t>
  </si>
  <si>
    <t>1. Cây bưởi ĐK gốc &gt; 20cm</t>
  </si>
  <si>
    <t>- Vượt mật độ</t>
  </si>
  <si>
    <t xml:space="preserve">1. Cây bưởi 12cm ≤ ĐK&lt;20cm </t>
  </si>
  <si>
    <t xml:space="preserve"> </t>
  </si>
  <si>
    <r>
      <t xml:space="preserve">PHƯƠNG ÁN CHI TIẾT BỒI THƯỜNG, HỖ TRỢ KHI NHÀ NƯỚC THU HỒI ĐẤT THỰC HIỆN DỰ ÁN KHU PHỨC HỢP ĐÔ THỊ DU LỊCH SINH THÁI, SÂN GÔN KHOÁI CHÂU, TỈNH HƯNG YÊN 
TRÊN ĐỊA BÀN THÔN TRUNG CHÂU, XÃ KHOÁI CHÂU
</t>
    </r>
    <r>
      <rPr>
        <b/>
        <i/>
        <sz val="16"/>
        <rFont val="Times New Roman"/>
        <family val="1"/>
      </rPr>
      <t>(Kèm theo Quyết định số 1145/QĐ- UBND ngày 03 tháng 4 năm 2026 của UBND  xã Khoái Châu)</t>
    </r>
  </si>
  <si>
    <r>
      <t xml:space="preserve"> PHƯƠNG ÁN CHI TIẾT BỒI THƯỜNG, HỖ TRỢ KHI NHÀ NƯỚC THU HỒI ĐẤT THỰC HIỆN DỰ ÁN KHU PHỨC HỢP ĐÔ THỊ DU LỊCH SINH THÁI, SÂN GÔN KHOÁI CHÂU, TỈNH HƯNG YÊN 
TRÊN ĐỊA BÀN THÔN TRUNG CHÂU, XÃ KHOÁI CHÂU
</t>
    </r>
    <r>
      <rPr>
        <b/>
        <i/>
        <sz val="16"/>
        <rFont val="Times New Roman"/>
        <family val="1"/>
      </rPr>
      <t>(Kèm theo Phương án bồi thường hỗ trợ ngày            /3/2026 của Trung tâm Phát triển quỹ đất số 01)</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</si>
</sst>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0.0"/>
    <numFmt numFmtId="166" formatCode="_-* #,##0.0\ _₫_-;\-* #,##0.0\ _₫_-;_-* &quot;-&quot;??\ _₫_-;_-@_-"/>
    <numFmt numFmtId="167" formatCode="0.0%"/>
  </numFmts>
  <fonts count="35">
    <font>
      <sz val="11"/>
      <color theme="1"/>
      <name val="Aptos Narrow"/>
      <family val="2"/>
      <scheme val="minor"/>
    </font>
    <font>
      <sz val="11"/>
      <color theme="1"/>
      <name val="Aptos Narrow"/>
      <family val="2"/>
      <scheme val="minor"/>
    </font>
    <font>
      <sz val="13"/>
      <name val="Times New Roman"/>
      <family val="1"/>
    </font>
    <font>
      <sz val="10"/>
      <name val="Arial"/>
      <family val="2"/>
    </font>
    <font>
      <sz val="12"/>
      <name val="Times New Roman"/>
      <family val="1"/>
    </font>
    <font>
      <b/>
      <sz val="16"/>
      <name val="Times New Roman"/>
      <family val="1"/>
    </font>
    <font>
      <b/>
      <i/>
      <sz val="16"/>
      <name val="Times New Roman"/>
      <family val="1"/>
    </font>
    <font>
      <sz val="11"/>
      <name val="Times New Roman"/>
      <family val="1"/>
    </font>
    <font>
      <b/>
      <sz val="12"/>
      <name val="Times New Roman"/>
      <family val="1"/>
    </font>
    <font>
      <b/>
      <sz val="11"/>
      <name val="Times New Roman"/>
      <family val="1"/>
    </font>
    <font>
      <b/>
      <sz val="9"/>
      <color indexed="81"/>
      <name val="Tahoma"/>
      <family val="2"/>
    </font>
    <font>
      <sz val="9"/>
      <color indexed="81"/>
      <name val="Tahoma"/>
      <family val="2"/>
    </font>
    <font>
      <b/>
      <sz val="13.5"/>
      <color theme="1"/>
      <name val="Times New Roman"/>
      <family val="1"/>
    </font>
    <font>
      <b/>
      <i/>
      <sz val="13.5"/>
      <color theme="1"/>
      <name val="Times New Roman"/>
      <family val="1"/>
    </font>
    <font>
      <b/>
      <sz val="9"/>
      <color theme="1"/>
      <name val="Times New Roman"/>
      <family val="1"/>
    </font>
    <font>
      <sz val="9"/>
      <color theme="1"/>
      <name val="Times New Roman"/>
      <family val="1"/>
    </font>
    <font>
      <sz val="8"/>
      <color theme="1"/>
      <name val="Times New Roman"/>
      <family val="1"/>
    </font>
    <font>
      <sz val="8"/>
      <color theme="1"/>
      <name val="Aptos Narrow"/>
      <family val="2"/>
      <scheme val="minor"/>
    </font>
    <font>
      <b/>
      <i/>
      <sz val="9"/>
      <color theme="1"/>
      <name val="Times New Roman"/>
      <family val="1"/>
    </font>
    <font>
      <sz val="9"/>
      <name val="Times New Roman"/>
      <family val="1"/>
    </font>
    <font>
      <sz val="9"/>
      <color indexed="8"/>
      <name val="Times New Roman"/>
      <family val="1"/>
    </font>
    <font>
      <sz val="9"/>
      <color theme="1"/>
      <name val="Aptos Narrow"/>
      <family val="2"/>
      <scheme val="minor"/>
    </font>
    <font>
      <vertAlign val="superscript"/>
      <sz val="9"/>
      <color indexed="8"/>
      <name val="Times New Roman"/>
      <family val="1"/>
    </font>
    <font>
      <sz val="9"/>
      <color rgb="FF000000"/>
      <name val="Times New Roman"/>
      <family val="1"/>
    </font>
    <font>
      <sz val="9"/>
      <color rgb="FFFF0000"/>
      <name val="Times New Roman"/>
      <family val="1"/>
    </font>
    <font>
      <sz val="11"/>
      <color theme="1"/>
      <name val="Times New Roman"/>
      <family val="1"/>
    </font>
    <font>
      <sz val="11"/>
      <color theme="0"/>
      <name val="Times New Roman"/>
      <family val="1"/>
    </font>
    <font>
      <b/>
      <sz val="12"/>
      <color theme="0"/>
      <name val="Times New Roman"/>
      <family val="1"/>
    </font>
    <font>
      <sz val="12"/>
      <color theme="0"/>
      <name val="Times New Roman"/>
      <family val="1"/>
    </font>
    <font>
      <sz val="12"/>
      <color rgb="FFFF0000"/>
      <name val="Times New Roman"/>
      <family val="1"/>
    </font>
    <font>
      <b/>
      <sz val="12"/>
      <color rgb="FFFF0000"/>
      <name val="Times New Roman"/>
      <family val="1"/>
    </font>
    <font>
      <b/>
      <sz val="12"/>
      <color rgb="FF0000FF"/>
      <name val="Times New Roman"/>
      <family val="1"/>
    </font>
    <font>
      <sz val="14"/>
      <name val="Times New Roman"/>
      <family val="1"/>
    </font>
    <font>
      <sz val="13"/>
      <color theme="0"/>
      <name val="Times New Roman"/>
      <family val="1"/>
    </font>
    <font>
      <b/>
      <sz val="11"/>
      <color theme="0"/>
      <name val="Times New Roman"/>
      <family val="1"/>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9" fontId="1" fillId="0" borderId="0" applyFont="0" applyFill="0" applyBorder="0" applyAlignment="0" applyProtection="0"/>
  </cellStyleXfs>
  <cellXfs count="329">
    <xf numFmtId="0" fontId="0" fillId="0" borderId="0" xfId="0"/>
    <xf numFmtId="0" fontId="7" fillId="0" borderId="0" xfId="0" applyFont="1" applyFill="1"/>
    <xf numFmtId="0" fontId="0" fillId="0" borderId="0" xfId="0" applyFill="1"/>
    <xf numFmtId="0" fontId="14" fillId="0" borderId="1" xfId="0"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4" fillId="0" borderId="1" xfId="0" applyFont="1" applyFill="1" applyBorder="1" applyAlignment="1">
      <alignment vertical="center" wrapText="1"/>
    </xf>
    <xf numFmtId="164" fontId="15" fillId="0" borderId="1" xfId="0" applyNumberFormat="1" applyFont="1" applyFill="1" applyBorder="1" applyAlignment="1">
      <alignment horizontal="center" vertical="center" wrapText="1"/>
    </xf>
    <xf numFmtId="2" fontId="14" fillId="0" borderId="1" xfId="0" applyNumberFormat="1" applyFont="1" applyFill="1" applyBorder="1" applyAlignment="1">
      <alignment horizontal="center" vertical="center" wrapText="1"/>
    </xf>
    <xf numFmtId="3" fontId="15"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wrapText="1"/>
    </xf>
    <xf numFmtId="0" fontId="17" fillId="0" borderId="0" xfId="0" applyFont="1" applyFill="1"/>
    <xf numFmtId="0" fontId="18" fillId="2" borderId="1" xfId="0" applyFont="1" applyFill="1" applyBorder="1" applyAlignment="1">
      <alignment horizontal="center" vertical="center"/>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xf>
    <xf numFmtId="3" fontId="15" fillId="2" borderId="1" xfId="0" applyNumberFormat="1" applyFont="1" applyFill="1" applyBorder="1" applyAlignment="1">
      <alignment horizontal="center" vertical="center"/>
    </xf>
    <xf numFmtId="0" fontId="18" fillId="2" borderId="1" xfId="0" applyFont="1" applyFill="1" applyBorder="1" applyAlignment="1">
      <alignment horizontal="left" vertical="center"/>
    </xf>
    <xf numFmtId="0" fontId="0" fillId="2" borderId="0" xfId="0" applyFill="1"/>
    <xf numFmtId="0" fontId="14" fillId="3" borderId="1" xfId="0" applyFont="1" applyFill="1" applyBorder="1" applyAlignment="1">
      <alignment horizontal="center"/>
    </xf>
    <xf numFmtId="165" fontId="19" fillId="3" borderId="1" xfId="0" applyNumberFormat="1" applyFont="1" applyFill="1" applyBorder="1" applyAlignment="1">
      <alignment horizontal="center" vertical="center" wrapText="1"/>
    </xf>
    <xf numFmtId="0" fontId="15" fillId="3" borderId="1" xfId="0" applyFont="1" applyFill="1" applyBorder="1" applyAlignment="1">
      <alignment horizontal="left" vertical="center" wrapText="1"/>
    </xf>
    <xf numFmtId="0" fontId="15" fillId="3" borderId="1" xfId="0" applyFont="1" applyFill="1" applyBorder="1" applyAlignment="1">
      <alignment horizontal="center" vertical="center"/>
    </xf>
    <xf numFmtId="3" fontId="15" fillId="3" borderId="1" xfId="0" applyNumberFormat="1" applyFont="1" applyFill="1" applyBorder="1" applyAlignment="1">
      <alignment horizontal="center" vertical="center"/>
    </xf>
    <xf numFmtId="0" fontId="0" fillId="3" borderId="0" xfId="0" applyFill="1"/>
    <xf numFmtId="0" fontId="15" fillId="3" borderId="1" xfId="0" applyFont="1" applyFill="1" applyBorder="1" applyAlignment="1">
      <alignment horizontal="center" vertical="center" wrapText="1"/>
    </xf>
    <xf numFmtId="4" fontId="15" fillId="3"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0" fontId="15" fillId="2" borderId="1" xfId="0" applyFont="1" applyFill="1" applyBorder="1" applyAlignment="1">
      <alignment vertical="center"/>
    </xf>
    <xf numFmtId="3" fontId="14" fillId="2" borderId="1" xfId="0" applyNumberFormat="1" applyFont="1" applyFill="1" applyBorder="1" applyAlignment="1"/>
    <xf numFmtId="0" fontId="21" fillId="2" borderId="0" xfId="0" applyFont="1" applyFill="1"/>
    <xf numFmtId="0" fontId="15" fillId="2" borderId="1" xfId="0" applyFont="1" applyFill="1" applyBorder="1" applyAlignment="1">
      <alignment horizontal="center" vertical="center" wrapText="1"/>
    </xf>
    <xf numFmtId="3" fontId="14" fillId="2" borderId="0" xfId="0" applyNumberFormat="1" applyFont="1" applyFill="1" applyBorder="1" applyAlignment="1"/>
    <xf numFmtId="3" fontId="14" fillId="2" borderId="1" xfId="0" applyNumberFormat="1" applyFont="1" applyFill="1" applyBorder="1" applyAlignment="1">
      <alignment horizontal="center"/>
    </xf>
    <xf numFmtId="165" fontId="19" fillId="2" borderId="1" xfId="0" applyNumberFormat="1" applyFont="1" applyFill="1" applyBorder="1" applyAlignment="1">
      <alignment horizontal="center" vertical="center" wrapText="1"/>
    </xf>
    <xf numFmtId="164" fontId="15" fillId="2" borderId="1" xfId="0" applyNumberFormat="1" applyFont="1" applyFill="1" applyBorder="1" applyAlignment="1">
      <alignment horizontal="center" vertical="center"/>
    </xf>
    <xf numFmtId="2" fontId="15" fillId="2" borderId="1" xfId="0" applyNumberFormat="1" applyFont="1" applyFill="1" applyBorder="1" applyAlignment="1">
      <alignment horizontal="center" vertical="center"/>
    </xf>
    <xf numFmtId="3" fontId="14" fillId="2" borderId="0" xfId="0" applyNumberFormat="1" applyFont="1" applyFill="1" applyBorder="1" applyAlignment="1">
      <alignment horizontal="center"/>
    </xf>
    <xf numFmtId="0" fontId="14" fillId="2" borderId="1" xfId="0" applyFont="1" applyFill="1" applyBorder="1" applyAlignment="1">
      <alignment horizontal="center"/>
    </xf>
    <xf numFmtId="0" fontId="15" fillId="3" borderId="1" xfId="0" applyFont="1" applyFill="1" applyBorder="1" applyAlignment="1">
      <alignment vertical="center"/>
    </xf>
    <xf numFmtId="0" fontId="15" fillId="3" borderId="0" xfId="0" applyFont="1" applyFill="1"/>
    <xf numFmtId="0" fontId="15" fillId="2" borderId="1" xfId="0" applyFont="1" applyFill="1" applyBorder="1"/>
    <xf numFmtId="165" fontId="15" fillId="2" borderId="1" xfId="0" applyNumberFormat="1" applyFont="1" applyFill="1" applyBorder="1" applyAlignment="1">
      <alignment vertical="center"/>
    </xf>
    <xf numFmtId="0" fontId="15" fillId="2" borderId="0" xfId="0" applyFont="1" applyFill="1"/>
    <xf numFmtId="0" fontId="23" fillId="2" borderId="1" xfId="2" applyFont="1" applyFill="1" applyBorder="1" applyAlignment="1">
      <alignment horizontal="left" vertical="center" wrapText="1"/>
    </xf>
    <xf numFmtId="0" fontId="21" fillId="2" borderId="1" xfId="0" applyFont="1" applyFill="1" applyBorder="1"/>
    <xf numFmtId="0" fontId="15" fillId="2" borderId="1" xfId="0" applyFont="1" applyFill="1" applyBorder="1" applyAlignment="1">
      <alignment vertical="center" wrapText="1"/>
    </xf>
    <xf numFmtId="4" fontId="15" fillId="2" borderId="1" xfId="0" applyNumberFormat="1" applyFont="1" applyFill="1" applyBorder="1" applyAlignment="1">
      <alignment horizontal="center" vertical="center"/>
    </xf>
    <xf numFmtId="0" fontId="15" fillId="2" borderId="1" xfId="0" applyFont="1" applyFill="1" applyBorder="1" applyAlignment="1">
      <alignment horizontal="left" wrapText="1"/>
    </xf>
    <xf numFmtId="0" fontId="14" fillId="2" borderId="0" xfId="0" applyFont="1" applyFill="1"/>
    <xf numFmtId="0" fontId="14" fillId="2" borderId="1" xfId="0" applyFont="1" applyFill="1" applyBorder="1" applyAlignment="1">
      <alignment horizontal="center" vertical="center"/>
    </xf>
    <xf numFmtId="3" fontId="14" fillId="2" borderId="1" xfId="0" applyNumberFormat="1" applyFont="1" applyFill="1" applyBorder="1" applyAlignment="1">
      <alignment horizontal="center" vertical="center"/>
    </xf>
    <xf numFmtId="0" fontId="0" fillId="0" borderId="0" xfId="0" applyFont="1" applyFill="1"/>
    <xf numFmtId="0" fontId="26" fillId="0" borderId="0" xfId="0" applyFont="1" applyFill="1"/>
    <xf numFmtId="4" fontId="7" fillId="0" borderId="0" xfId="0" applyNumberFormat="1" applyFont="1" applyFill="1"/>
    <xf numFmtId="0" fontId="9" fillId="0" borderId="0" xfId="0" applyFont="1" applyFill="1"/>
    <xf numFmtId="4" fontId="26" fillId="0" borderId="0" xfId="0" applyNumberFormat="1" applyFont="1" applyFill="1"/>
    <xf numFmtId="0" fontId="34" fillId="0" borderId="0" xfId="0" applyFont="1" applyFill="1"/>
    <xf numFmtId="0" fontId="5" fillId="4" borderId="0" xfId="0" applyFont="1" applyFill="1" applyBorder="1" applyAlignment="1">
      <alignment horizontal="center" vertical="center" wrapText="1"/>
    </xf>
    <xf numFmtId="0" fontId="7" fillId="4" borderId="0" xfId="0" applyFont="1" applyFill="1"/>
    <xf numFmtId="0" fontId="8" fillId="4" borderId="0" xfId="0" applyFont="1" applyFill="1" applyBorder="1" applyAlignment="1">
      <alignment horizontal="center" vertical="center" wrapText="1"/>
    </xf>
    <xf numFmtId="0" fontId="4" fillId="4" borderId="0" xfId="0" applyFont="1" applyFill="1"/>
    <xf numFmtId="0" fontId="8" fillId="4" borderId="1" xfId="0"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8" fillId="4" borderId="1" xfId="0" applyNumberFormat="1" applyFont="1" applyFill="1" applyBorder="1" applyAlignment="1">
      <alignment horizontal="right" vertical="center" wrapText="1"/>
    </xf>
    <xf numFmtId="0" fontId="8" fillId="4" borderId="1" xfId="0" applyFont="1" applyFill="1" applyBorder="1" applyAlignment="1">
      <alignment horizontal="center" vertical="center"/>
    </xf>
    <xf numFmtId="49" fontId="8" fillId="4"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0" fontId="4" fillId="4" borderId="0" xfId="0" applyFont="1" applyFill="1" applyAlignment="1">
      <alignment horizontal="center"/>
    </xf>
    <xf numFmtId="0" fontId="8" fillId="4" borderId="1" xfId="0" applyFont="1" applyFill="1" applyBorder="1" applyAlignment="1">
      <alignment horizontal="left" vertical="center" wrapText="1"/>
    </xf>
    <xf numFmtId="164" fontId="4" fillId="4" borderId="1" xfId="0" applyNumberFormat="1" applyFont="1" applyFill="1" applyBorder="1" applyAlignment="1">
      <alignment horizontal="center" vertical="center" wrapText="1"/>
    </xf>
    <xf numFmtId="167" fontId="8"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4" fontId="8" fillId="4" borderId="5" xfId="0" applyNumberFormat="1" applyFont="1" applyFill="1" applyBorder="1" applyAlignment="1">
      <alignment horizontal="center" vertical="center" wrapText="1"/>
    </xf>
    <xf numFmtId="3" fontId="8" fillId="4" borderId="0" xfId="0" applyNumberFormat="1" applyFont="1" applyFill="1" applyBorder="1" applyAlignment="1">
      <alignment horizontal="center" vertical="center" wrapText="1"/>
    </xf>
    <xf numFmtId="0" fontId="8" fillId="4" borderId="0" xfId="0" applyFont="1" applyFill="1"/>
    <xf numFmtId="0" fontId="4"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3" fontId="4" fillId="4" borderId="1" xfId="2" applyNumberFormat="1" applyFont="1" applyFill="1" applyBorder="1" applyAlignment="1">
      <alignment horizontal="center" vertical="center" wrapText="1"/>
    </xf>
    <xf numFmtId="0" fontId="4" fillId="4" borderId="1" xfId="0" applyFont="1" applyFill="1" applyBorder="1" applyAlignment="1">
      <alignment vertical="center"/>
    </xf>
    <xf numFmtId="9" fontId="4" fillId="4" borderId="1" xfId="0" applyNumberFormat="1" applyFont="1" applyFill="1" applyBorder="1" applyAlignment="1">
      <alignment horizontal="center" vertical="center" wrapText="1"/>
    </xf>
    <xf numFmtId="3" fontId="4" fillId="4" borderId="1" xfId="0" applyNumberFormat="1" applyFont="1" applyFill="1" applyBorder="1" applyAlignment="1">
      <alignment horizontal="right" vertical="center" wrapText="1"/>
    </xf>
    <xf numFmtId="4" fontId="4" fillId="4" borderId="5" xfId="0" applyNumberFormat="1" applyFont="1" applyFill="1" applyBorder="1" applyAlignment="1">
      <alignment horizontal="center" vertical="center" wrapText="1"/>
    </xf>
    <xf numFmtId="0" fontId="4" fillId="4" borderId="0" xfId="0" applyFont="1" applyFill="1" applyAlignment="1">
      <alignment vertical="center"/>
    </xf>
    <xf numFmtId="49" fontId="4" fillId="4" borderId="1" xfId="0" applyNumberFormat="1" applyFont="1" applyFill="1" applyBorder="1" applyAlignment="1">
      <alignment horizontal="left" vertical="center" wrapText="1"/>
    </xf>
    <xf numFmtId="0" fontId="4" fillId="4" borderId="1" xfId="2"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xf>
    <xf numFmtId="3"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1" fontId="2" fillId="4" borderId="1" xfId="3" applyNumberFormat="1"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2" applyFont="1" applyFill="1" applyBorder="1" applyAlignment="1">
      <alignment vertical="center" wrapText="1"/>
    </xf>
    <xf numFmtId="164" fontId="4" fillId="4" borderId="1" xfId="0" applyNumberFormat="1" applyFont="1" applyFill="1" applyBorder="1" applyAlignment="1">
      <alignment horizontal="center" vertical="center"/>
    </xf>
    <xf numFmtId="0" fontId="7" fillId="4" borderId="1" xfId="0" applyFont="1" applyFill="1" applyBorder="1" applyAlignment="1">
      <alignment vertical="center" wrapText="1"/>
    </xf>
    <xf numFmtId="164" fontId="8" fillId="4" borderId="3" xfId="0" applyNumberFormat="1" applyFont="1" applyFill="1" applyBorder="1" applyAlignment="1">
      <alignment horizontal="center" vertical="center" wrapText="1"/>
    </xf>
    <xf numFmtId="165" fontId="8" fillId="4" borderId="3" xfId="0" applyNumberFormat="1" applyFont="1" applyFill="1" applyBorder="1" applyAlignment="1">
      <alignment horizontal="center" vertical="center" wrapText="1"/>
    </xf>
    <xf numFmtId="164" fontId="8" fillId="4" borderId="3" xfId="0" applyNumberFormat="1" applyFont="1" applyFill="1" applyBorder="1" applyAlignment="1">
      <alignment horizontal="center" vertical="center"/>
    </xf>
    <xf numFmtId="167" fontId="8" fillId="4" borderId="3" xfId="0" applyNumberFormat="1" applyFont="1" applyFill="1" applyBorder="1" applyAlignment="1">
      <alignment horizontal="center" vertical="center"/>
    </xf>
    <xf numFmtId="0" fontId="8" fillId="4" borderId="1" xfId="0" applyFont="1" applyFill="1" applyBorder="1" applyAlignment="1">
      <alignment vertical="center" wrapText="1"/>
    </xf>
    <xf numFmtId="1" fontId="8" fillId="4" borderId="1" xfId="3" applyNumberFormat="1" applyFont="1" applyFill="1" applyBorder="1" applyAlignment="1">
      <alignment horizontal="center" vertical="center" wrapText="1"/>
    </xf>
    <xf numFmtId="0" fontId="8" fillId="4" borderId="1" xfId="0" applyFont="1" applyFill="1" applyBorder="1" applyAlignment="1">
      <alignment vertical="center"/>
    </xf>
    <xf numFmtId="0" fontId="8" fillId="4" borderId="0" xfId="0" applyFont="1" applyFill="1" applyAlignment="1">
      <alignment vertical="center"/>
    </xf>
    <xf numFmtId="9" fontId="4" fillId="4" borderId="1" xfId="0" applyNumberFormat="1" applyFont="1" applyFill="1" applyBorder="1" applyAlignment="1">
      <alignment horizontal="center" vertical="center"/>
    </xf>
    <xf numFmtId="0" fontId="4" fillId="4" borderId="7" xfId="0" applyFont="1" applyFill="1" applyBorder="1" applyAlignment="1">
      <alignment vertical="center" wrapText="1"/>
    </xf>
    <xf numFmtId="4" fontId="8" fillId="4" borderId="1" xfId="0" applyNumberFormat="1" applyFont="1" applyFill="1" applyBorder="1" applyAlignment="1">
      <alignment horizontal="center" vertical="center"/>
    </xf>
    <xf numFmtId="3" fontId="8" fillId="4" borderId="1" xfId="0" applyNumberFormat="1" applyFont="1" applyFill="1" applyBorder="1" applyAlignment="1">
      <alignment horizontal="center" vertical="center"/>
    </xf>
    <xf numFmtId="165" fontId="8" fillId="4" borderId="1" xfId="0" applyNumberFormat="1" applyFont="1" applyFill="1" applyBorder="1" applyAlignment="1">
      <alignment horizontal="center" vertical="center"/>
    </xf>
    <xf numFmtId="4" fontId="4" fillId="4" borderId="0" xfId="0" applyNumberFormat="1" applyFont="1" applyFill="1" applyAlignment="1">
      <alignment horizontal="center" vertical="center"/>
    </xf>
    <xf numFmtId="0" fontId="8" fillId="4" borderId="0" xfId="0" applyFont="1" applyFill="1" applyAlignment="1">
      <alignment horizontal="center" vertical="center"/>
    </xf>
    <xf numFmtId="0" fontId="4" fillId="4" borderId="0" xfId="0" applyFont="1" applyFill="1" applyAlignment="1">
      <alignment horizontal="center" vertical="center"/>
    </xf>
    <xf numFmtId="0" fontId="2" fillId="4" borderId="0" xfId="0" applyFont="1" applyFill="1" applyAlignment="1">
      <alignment horizontal="center" vertical="center"/>
    </xf>
    <xf numFmtId="0" fontId="7" fillId="4" borderId="0" xfId="0" applyFont="1" applyFill="1" applyAlignment="1">
      <alignment horizontal="left" wrapText="1"/>
    </xf>
    <xf numFmtId="0" fontId="7" fillId="4" borderId="0" xfId="0" applyFont="1" applyFill="1" applyAlignment="1">
      <alignment horizontal="center"/>
    </xf>
    <xf numFmtId="164" fontId="7" fillId="4" borderId="0" xfId="0" applyNumberFormat="1" applyFont="1" applyFill="1"/>
    <xf numFmtId="3" fontId="7" fillId="4" borderId="0" xfId="0" applyNumberFormat="1" applyFont="1" applyFill="1"/>
    <xf numFmtId="3" fontId="7" fillId="4" borderId="0" xfId="0" applyNumberFormat="1" applyFont="1" applyFill="1" applyAlignment="1">
      <alignment horizontal="center"/>
    </xf>
    <xf numFmtId="167" fontId="7" fillId="4" borderId="0" xfId="0" applyNumberFormat="1" applyFont="1" applyFill="1"/>
    <xf numFmtId="0" fontId="7" fillId="4" borderId="0" xfId="0" applyFont="1" applyFill="1" applyAlignment="1">
      <alignment horizontal="center" wrapText="1"/>
    </xf>
    <xf numFmtId="3" fontId="7" fillId="4" borderId="0" xfId="0" applyNumberFormat="1" applyFont="1" applyFill="1" applyAlignment="1">
      <alignment horizontal="right"/>
    </xf>
    <xf numFmtId="3" fontId="9" fillId="4" borderId="0" xfId="0" applyNumberFormat="1" applyFont="1" applyFill="1"/>
    <xf numFmtId="4" fontId="7" fillId="4" borderId="0" xfId="0" applyNumberFormat="1" applyFont="1" applyFill="1"/>
    <xf numFmtId="0" fontId="9" fillId="4" borderId="0" xfId="0" applyFont="1" applyFill="1"/>
    <xf numFmtId="0" fontId="26" fillId="4" borderId="0" xfId="0" applyFont="1" applyFill="1"/>
    <xf numFmtId="0" fontId="28" fillId="4" borderId="0" xfId="0" applyFont="1" applyFill="1"/>
    <xf numFmtId="0" fontId="28" fillId="4" borderId="0" xfId="0" applyFont="1" applyFill="1" applyAlignment="1">
      <alignment horizontal="center"/>
    </xf>
    <xf numFmtId="0" fontId="27" fillId="4" borderId="0" xfId="0" applyFont="1" applyFill="1"/>
    <xf numFmtId="0" fontId="28" fillId="4" borderId="0" xfId="0" applyFont="1" applyFill="1" applyAlignment="1">
      <alignment vertical="center"/>
    </xf>
    <xf numFmtId="0" fontId="27" fillId="4" borderId="0" xfId="0" applyFont="1" applyFill="1" applyAlignment="1">
      <alignment vertical="center"/>
    </xf>
    <xf numFmtId="0" fontId="28" fillId="4" borderId="0" xfId="0" applyFont="1" applyFill="1" applyAlignment="1">
      <alignment horizontal="center" vertical="center"/>
    </xf>
    <xf numFmtId="164" fontId="4" fillId="4" borderId="2" xfId="0" applyNumberFormat="1" applyFont="1" applyFill="1" applyBorder="1" applyAlignment="1">
      <alignment horizontal="center" vertical="center"/>
    </xf>
    <xf numFmtId="164" fontId="4" fillId="4" borderId="8" xfId="0" applyNumberFormat="1" applyFont="1" applyFill="1" applyBorder="1" applyAlignment="1">
      <alignment horizontal="center" vertical="center"/>
    </xf>
    <xf numFmtId="3" fontId="4" fillId="4" borderId="2" xfId="0" applyNumberFormat="1" applyFont="1" applyFill="1" applyBorder="1" applyAlignment="1">
      <alignment horizontal="center" vertical="center"/>
    </xf>
    <xf numFmtId="3" fontId="4" fillId="4" borderId="3" xfId="0" applyNumberFormat="1" applyFont="1" applyFill="1" applyBorder="1" applyAlignment="1">
      <alignment horizontal="center" vertical="center"/>
    </xf>
    <xf numFmtId="3" fontId="8" fillId="4" borderId="3" xfId="0" applyNumberFormat="1" applyFont="1" applyFill="1" applyBorder="1" applyAlignment="1">
      <alignment horizontal="center" vertical="center"/>
    </xf>
    <xf numFmtId="3"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8"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164" fontId="4" fillId="4" borderId="2" xfId="0" applyNumberFormat="1" applyFont="1" applyFill="1" applyBorder="1" applyAlignment="1">
      <alignment horizontal="center" vertical="center" wrapText="1"/>
    </xf>
    <xf numFmtId="164" fontId="4" fillId="4" borderId="3"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165" fontId="4" fillId="4" borderId="8" xfId="0" applyNumberFormat="1" applyFont="1" applyFill="1" applyBorder="1" applyAlignment="1">
      <alignment horizontal="center" vertical="center" wrapText="1"/>
    </xf>
    <xf numFmtId="0" fontId="8" fillId="4" borderId="3" xfId="0" applyFont="1" applyFill="1" applyBorder="1" applyAlignment="1">
      <alignment horizontal="center" vertical="center"/>
    </xf>
    <xf numFmtId="0" fontId="8" fillId="4" borderId="3" xfId="0" applyFont="1" applyFill="1" applyBorder="1" applyAlignment="1">
      <alignment horizontal="left" vertical="center" wrapText="1"/>
    </xf>
    <xf numFmtId="0" fontId="8" fillId="4" borderId="3" xfId="0" applyFont="1" applyFill="1" applyBorder="1" applyAlignment="1">
      <alignment horizontal="center" vertical="center" wrapText="1"/>
    </xf>
    <xf numFmtId="167" fontId="8" fillId="4" borderId="3" xfId="0" applyNumberFormat="1" applyFont="1" applyFill="1" applyBorder="1" applyAlignment="1">
      <alignment horizontal="center" vertical="center" wrapText="1"/>
    </xf>
    <xf numFmtId="3" fontId="8" fillId="4" borderId="3" xfId="0" applyNumberFormat="1" applyFont="1" applyFill="1" applyBorder="1" applyAlignment="1">
      <alignment horizontal="center" vertical="center" wrapText="1"/>
    </xf>
    <xf numFmtId="4" fontId="8" fillId="4" borderId="3" xfId="0" applyNumberFormat="1" applyFont="1" applyFill="1" applyBorder="1" applyAlignment="1">
      <alignment horizontal="center" vertical="center" wrapText="1"/>
    </xf>
    <xf numFmtId="0" fontId="4" fillId="4" borderId="3" xfId="0" applyFont="1" applyFill="1" applyBorder="1" applyAlignment="1">
      <alignment vertical="center" wrapText="1"/>
    </xf>
    <xf numFmtId="9" fontId="29"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0" fontId="29" fillId="4" borderId="1" xfId="0" applyFont="1" applyFill="1" applyBorder="1" applyAlignment="1">
      <alignment horizontal="center" vertical="center" wrapText="1"/>
    </xf>
    <xf numFmtId="165" fontId="29" fillId="4" borderId="1" xfId="0" applyNumberFormat="1" applyFont="1" applyFill="1" applyBorder="1" applyAlignment="1">
      <alignment horizontal="center" vertical="center" wrapText="1"/>
    </xf>
    <xf numFmtId="49" fontId="29" fillId="4" borderId="1" xfId="0" applyNumberFormat="1" applyFont="1" applyFill="1" applyBorder="1" applyAlignment="1">
      <alignment horizontal="left" vertical="center" wrapText="1"/>
    </xf>
    <xf numFmtId="0" fontId="29" fillId="4" borderId="1" xfId="2" applyFont="1" applyFill="1" applyBorder="1" applyAlignment="1">
      <alignment horizontal="center" vertical="center" wrapText="1"/>
    </xf>
    <xf numFmtId="165" fontId="29" fillId="4" borderId="1" xfId="2"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xf>
    <xf numFmtId="0" fontId="25" fillId="4" borderId="1" xfId="0" applyFont="1" applyFill="1" applyBorder="1" applyAlignment="1">
      <alignment horizontal="center" vertical="center" wrapText="1"/>
    </xf>
    <xf numFmtId="165" fontId="8" fillId="4" borderId="3" xfId="0" applyNumberFormat="1" applyFont="1" applyFill="1" applyBorder="1" applyAlignment="1">
      <alignment horizontal="center" vertical="center"/>
    </xf>
    <xf numFmtId="165" fontId="4" fillId="4" borderId="3" xfId="0" applyNumberFormat="1" applyFont="1" applyFill="1" applyBorder="1" applyAlignment="1">
      <alignment horizontal="center" vertical="center"/>
    </xf>
    <xf numFmtId="4" fontId="9" fillId="4" borderId="1" xfId="0" applyNumberFormat="1" applyFont="1" applyFill="1" applyBorder="1" applyAlignment="1">
      <alignment horizontal="center" vertical="center"/>
    </xf>
    <xf numFmtId="4" fontId="9" fillId="4" borderId="1" xfId="0" applyNumberFormat="1" applyFont="1" applyFill="1" applyBorder="1" applyAlignment="1">
      <alignment horizontal="center" vertical="center" wrapText="1"/>
    </xf>
    <xf numFmtId="3" fontId="9" fillId="4" borderId="1" xfId="0" applyNumberFormat="1" applyFont="1" applyFill="1" applyBorder="1" applyAlignment="1">
      <alignment horizontal="center" vertical="center"/>
    </xf>
    <xf numFmtId="0" fontId="33" fillId="4" borderId="0" xfId="0" applyFont="1" applyFill="1" applyAlignment="1">
      <alignment horizontal="center" vertical="center"/>
    </xf>
    <xf numFmtId="0" fontId="26" fillId="4" borderId="0" xfId="0" applyFont="1" applyFill="1" applyAlignment="1">
      <alignment horizontal="left" wrapText="1"/>
    </xf>
    <xf numFmtId="0" fontId="26" fillId="4" borderId="0" xfId="0" applyFont="1" applyFill="1" applyAlignment="1">
      <alignment horizontal="center"/>
    </xf>
    <xf numFmtId="164" fontId="26" fillId="4" borderId="0" xfId="0" applyNumberFormat="1" applyFont="1" applyFill="1"/>
    <xf numFmtId="3" fontId="26" fillId="4" borderId="0" xfId="0" applyNumberFormat="1" applyFont="1" applyFill="1"/>
    <xf numFmtId="3" fontId="26" fillId="4" borderId="0" xfId="0" applyNumberFormat="1" applyFont="1" applyFill="1" applyAlignment="1">
      <alignment horizontal="center"/>
    </xf>
    <xf numFmtId="167" fontId="26" fillId="4" borderId="0" xfId="0" applyNumberFormat="1" applyFont="1" applyFill="1"/>
    <xf numFmtId="0" fontId="26" fillId="4" borderId="0" xfId="0" applyFont="1" applyFill="1" applyAlignment="1">
      <alignment horizontal="center" wrapText="1"/>
    </xf>
    <xf numFmtId="3" fontId="26" fillId="4" borderId="0" xfId="0" applyNumberFormat="1" applyFont="1" applyFill="1" applyAlignment="1">
      <alignment horizontal="right"/>
    </xf>
    <xf numFmtId="3" fontId="34" fillId="4" borderId="0" xfId="0" applyNumberFormat="1" applyFont="1" applyFill="1"/>
    <xf numFmtId="3"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0" xfId="0" applyFont="1" applyFill="1" applyAlignment="1">
      <alignment horizontal="center" wrapText="1"/>
    </xf>
    <xf numFmtId="0" fontId="12" fillId="0" borderId="6" xfId="0" applyFont="1" applyFill="1" applyBorder="1" applyAlignment="1">
      <alignment horizontal="center" wrapText="1"/>
    </xf>
    <xf numFmtId="0" fontId="14" fillId="0" borderId="1" xfId="0" applyFont="1" applyFill="1" applyBorder="1" applyAlignment="1">
      <alignment horizontal="center" vertical="center"/>
    </xf>
    <xf numFmtId="2" fontId="14" fillId="0"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165" fontId="19"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5" fillId="2" borderId="1" xfId="0" applyFont="1" applyFill="1" applyBorder="1" applyAlignment="1">
      <alignment vertical="center" wrapText="1"/>
    </xf>
    <xf numFmtId="0" fontId="15" fillId="2" borderId="1" xfId="0" applyFont="1" applyFill="1" applyBorder="1" applyAlignment="1">
      <alignment horizontal="left" vertical="center" wrapText="1"/>
    </xf>
    <xf numFmtId="3" fontId="14" fillId="2" borderId="1" xfId="0" applyNumberFormat="1" applyFont="1" applyFill="1" applyBorder="1" applyAlignment="1">
      <alignment horizontal="center" vertical="center"/>
    </xf>
    <xf numFmtId="3"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4" fontId="15" fillId="2" borderId="1" xfId="0" applyNumberFormat="1" applyFont="1" applyFill="1" applyBorder="1" applyAlignment="1">
      <alignment horizontal="center" vertical="center"/>
    </xf>
    <xf numFmtId="166" fontId="20" fillId="2" borderId="1" xfId="1" applyNumberFormat="1" applyFont="1" applyFill="1" applyBorder="1" applyAlignment="1">
      <alignment horizontal="center" vertical="center"/>
    </xf>
    <xf numFmtId="2" fontId="15" fillId="2" borderId="1" xfId="0" applyNumberFormat="1" applyFont="1" applyFill="1" applyBorder="1" applyAlignment="1">
      <alignment horizontal="center" vertical="center"/>
    </xf>
    <xf numFmtId="1" fontId="15" fillId="2" borderId="1" xfId="0" applyNumberFormat="1" applyFont="1" applyFill="1" applyBorder="1" applyAlignment="1">
      <alignment horizontal="center"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vertical="center" wrapText="1"/>
    </xf>
    <xf numFmtId="165" fontId="19" fillId="3" borderId="1" xfId="0" applyNumberFormat="1" applyFont="1" applyFill="1" applyBorder="1" applyAlignment="1">
      <alignment horizontal="center" vertical="center" wrapText="1"/>
    </xf>
    <xf numFmtId="3" fontId="14" fillId="3" borderId="1" xfId="0" applyNumberFormat="1" applyFont="1" applyFill="1" applyBorder="1" applyAlignment="1">
      <alignment horizontal="center" vertical="center"/>
    </xf>
    <xf numFmtId="3" fontId="15" fillId="3" borderId="1" xfId="0" applyNumberFormat="1" applyFont="1" applyFill="1" applyBorder="1" applyAlignment="1">
      <alignment horizontal="center" vertical="center"/>
    </xf>
    <xf numFmtId="3" fontId="19" fillId="3" borderId="1" xfId="0" applyNumberFormat="1" applyFont="1" applyFill="1" applyBorder="1" applyAlignment="1">
      <alignment horizontal="center" vertical="center" wrapText="1"/>
    </xf>
    <xf numFmtId="1" fontId="19" fillId="3"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xf>
    <xf numFmtId="0" fontId="0" fillId="2" borderId="0" xfId="0" applyFill="1" applyAlignment="1">
      <alignment horizontal="center" vertical="center" wrapText="1"/>
    </xf>
    <xf numFmtId="3" fontId="19" fillId="2" borderId="1" xfId="0" applyNumberFormat="1" applyFont="1" applyFill="1" applyBorder="1" applyAlignment="1">
      <alignment horizontal="center" vertical="center" wrapText="1"/>
    </xf>
    <xf numFmtId="1" fontId="19" fillId="2" borderId="1" xfId="0" applyNumberFormat="1" applyFont="1" applyFill="1" applyBorder="1" applyAlignment="1">
      <alignment horizontal="center" vertical="center" wrapText="1"/>
    </xf>
    <xf numFmtId="0" fontId="15" fillId="3" borderId="1" xfId="0" applyFont="1" applyFill="1" applyBorder="1" applyAlignment="1">
      <alignment horizontal="left" vertical="center" wrapText="1"/>
    </xf>
    <xf numFmtId="1" fontId="15" fillId="3" borderId="1" xfId="0" applyNumberFormat="1" applyFont="1" applyFill="1" applyBorder="1" applyAlignment="1">
      <alignment horizontal="center" vertical="center"/>
    </xf>
    <xf numFmtId="165" fontId="15" fillId="3" borderId="1" xfId="0" applyNumberFormat="1" applyFont="1" applyFill="1" applyBorder="1" applyAlignment="1">
      <alignment horizontal="center" vertical="center"/>
    </xf>
    <xf numFmtId="0" fontId="15" fillId="2" borderId="2"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2"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0" xfId="0" applyFont="1" applyFill="1" applyAlignment="1">
      <alignment horizontal="center" vertical="center" wrapText="1"/>
    </xf>
    <xf numFmtId="2" fontId="15" fillId="2" borderId="1" xfId="0" applyNumberFormat="1" applyFont="1" applyFill="1" applyBorder="1" applyAlignment="1">
      <alignment horizontal="center"/>
    </xf>
    <xf numFmtId="3" fontId="14" fillId="2" borderId="2" xfId="0" applyNumberFormat="1" applyFont="1" applyFill="1" applyBorder="1" applyAlignment="1">
      <alignment horizontal="center" vertical="center"/>
    </xf>
    <xf numFmtId="3" fontId="14" fillId="2" borderId="8" xfId="0" applyNumberFormat="1" applyFont="1" applyFill="1" applyBorder="1" applyAlignment="1">
      <alignment horizontal="center" vertical="center"/>
    </xf>
    <xf numFmtId="3" fontId="14" fillId="2" borderId="3" xfId="0" applyNumberFormat="1" applyFont="1" applyFill="1" applyBorder="1" applyAlignment="1">
      <alignment horizontal="center" vertical="center"/>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3" xfId="0" applyFont="1" applyFill="1" applyBorder="1" applyAlignment="1">
      <alignment horizontal="center" vertical="center" wrapText="1"/>
    </xf>
    <xf numFmtId="3" fontId="15" fillId="2" borderId="2" xfId="0" applyNumberFormat="1" applyFont="1" applyFill="1" applyBorder="1" applyAlignment="1">
      <alignment horizontal="center" vertical="center"/>
    </xf>
    <xf numFmtId="3" fontId="15" fillId="2" borderId="8" xfId="0" applyNumberFormat="1" applyFont="1" applyFill="1" applyBorder="1" applyAlignment="1">
      <alignment horizontal="center" vertical="center"/>
    </xf>
    <xf numFmtId="3" fontId="15" fillId="2" borderId="3" xfId="0" applyNumberFormat="1" applyFont="1" applyFill="1" applyBorder="1" applyAlignment="1">
      <alignment horizontal="center" vertical="center"/>
    </xf>
    <xf numFmtId="0" fontId="24" fillId="2" borderId="1" xfId="0" applyFont="1" applyFill="1" applyBorder="1" applyAlignment="1">
      <alignment horizontal="center" vertical="center" wrapText="1"/>
    </xf>
    <xf numFmtId="1" fontId="15" fillId="2" borderId="2" xfId="0" applyNumberFormat="1" applyFont="1" applyFill="1" applyBorder="1" applyAlignment="1">
      <alignment horizontal="center" vertical="center" wrapText="1"/>
    </xf>
    <xf numFmtId="1" fontId="15" fillId="2" borderId="8" xfId="0" applyNumberFormat="1" applyFont="1" applyFill="1" applyBorder="1" applyAlignment="1">
      <alignment horizontal="center" vertical="center" wrapText="1"/>
    </xf>
    <xf numFmtId="1" fontId="15" fillId="2" borderId="3" xfId="0" applyNumberFormat="1" applyFont="1" applyFill="1" applyBorder="1" applyAlignment="1">
      <alignment horizontal="center" vertical="center" wrapText="1"/>
    </xf>
    <xf numFmtId="3" fontId="15" fillId="2" borderId="2" xfId="0" applyNumberFormat="1" applyFont="1" applyFill="1" applyBorder="1" applyAlignment="1">
      <alignment horizontal="center" vertical="center" wrapText="1"/>
    </xf>
    <xf numFmtId="3" fontId="15" fillId="2" borderId="8" xfId="0" applyNumberFormat="1" applyFont="1" applyFill="1" applyBorder="1" applyAlignment="1">
      <alignment horizontal="center" vertical="center" wrapText="1"/>
    </xf>
    <xf numFmtId="3" fontId="15" fillId="2" borderId="3" xfId="0" applyNumberFormat="1" applyFont="1" applyFill="1" applyBorder="1" applyAlignment="1">
      <alignment horizontal="center" vertical="center" wrapText="1"/>
    </xf>
    <xf numFmtId="165" fontId="15" fillId="2" borderId="2" xfId="0" applyNumberFormat="1" applyFont="1" applyFill="1" applyBorder="1" applyAlignment="1">
      <alignment horizontal="center" vertical="center" wrapText="1"/>
    </xf>
    <xf numFmtId="3" fontId="8" fillId="4" borderId="2" xfId="0" applyNumberFormat="1" applyFont="1" applyFill="1" applyBorder="1" applyAlignment="1">
      <alignment horizontal="center" vertical="center"/>
    </xf>
    <xf numFmtId="3" fontId="8" fillId="4" borderId="8" xfId="0" applyNumberFormat="1" applyFont="1" applyFill="1" applyBorder="1" applyAlignment="1">
      <alignment horizontal="center" vertical="center"/>
    </xf>
    <xf numFmtId="3" fontId="8" fillId="4" borderId="3" xfId="0" applyNumberFormat="1" applyFont="1" applyFill="1" applyBorder="1" applyAlignment="1">
      <alignment horizontal="center" vertical="center"/>
    </xf>
    <xf numFmtId="164" fontId="4" fillId="4" borderId="2" xfId="0" applyNumberFormat="1" applyFont="1" applyFill="1" applyBorder="1" applyAlignment="1">
      <alignment horizontal="center" vertical="center"/>
    </xf>
    <xf numFmtId="164" fontId="4" fillId="4" borderId="8" xfId="0" applyNumberFormat="1" applyFont="1" applyFill="1" applyBorder="1" applyAlignment="1">
      <alignment horizontal="center" vertical="center"/>
    </xf>
    <xf numFmtId="164" fontId="4" fillId="4" borderId="3" xfId="0" applyNumberFormat="1" applyFont="1" applyFill="1" applyBorder="1" applyAlignment="1">
      <alignment horizontal="center" vertical="center"/>
    </xf>
    <xf numFmtId="167" fontId="4" fillId="4" borderId="2" xfId="0" applyNumberFormat="1" applyFont="1" applyFill="1" applyBorder="1" applyAlignment="1">
      <alignment horizontal="center" vertical="center" wrapText="1"/>
    </xf>
    <xf numFmtId="167" fontId="4" fillId="4" borderId="8" xfId="0" applyNumberFormat="1" applyFont="1" applyFill="1" applyBorder="1" applyAlignment="1">
      <alignment horizontal="center" vertical="center" wrapText="1"/>
    </xf>
    <xf numFmtId="167" fontId="4" fillId="4" borderId="3" xfId="0" applyNumberFormat="1" applyFont="1" applyFill="1" applyBorder="1" applyAlignment="1">
      <alignment horizontal="center" vertical="center" wrapText="1"/>
    </xf>
    <xf numFmtId="3" fontId="4" fillId="4" borderId="2" xfId="0" applyNumberFormat="1" applyFont="1" applyFill="1" applyBorder="1" applyAlignment="1">
      <alignment horizontal="center" vertical="center" wrapText="1"/>
    </xf>
    <xf numFmtId="3" fontId="4" fillId="4" borderId="8" xfId="0" applyNumberFormat="1" applyFont="1" applyFill="1" applyBorder="1" applyAlignment="1">
      <alignment horizontal="center" vertical="center" wrapText="1"/>
    </xf>
    <xf numFmtId="3" fontId="4" fillId="4" borderId="3" xfId="0" applyNumberFormat="1" applyFont="1" applyFill="1" applyBorder="1" applyAlignment="1">
      <alignment horizontal="center" vertical="center" wrapText="1"/>
    </xf>
    <xf numFmtId="3" fontId="4" fillId="4" borderId="2" xfId="0" applyNumberFormat="1" applyFont="1" applyFill="1" applyBorder="1" applyAlignment="1">
      <alignment horizontal="center" vertical="center"/>
    </xf>
    <xf numFmtId="3" fontId="4" fillId="4" borderId="8" xfId="0" applyNumberFormat="1" applyFont="1" applyFill="1" applyBorder="1" applyAlignment="1">
      <alignment horizontal="center" vertical="center"/>
    </xf>
    <xf numFmtId="3" fontId="4" fillId="4" borderId="3" xfId="0" applyNumberFormat="1" applyFont="1" applyFill="1" applyBorder="1" applyAlignment="1">
      <alignment horizontal="center" vertical="center"/>
    </xf>
    <xf numFmtId="3" fontId="4" fillId="4"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3" xfId="0" applyFont="1" applyFill="1" applyBorder="1" applyAlignment="1">
      <alignment horizontal="center" vertical="center" wrapText="1"/>
    </xf>
    <xf numFmtId="164" fontId="4" fillId="4" borderId="2" xfId="0" applyNumberFormat="1" applyFont="1" applyFill="1" applyBorder="1" applyAlignment="1">
      <alignment horizontal="center" vertical="center" wrapText="1"/>
    </xf>
    <xf numFmtId="164" fontId="4" fillId="4" borderId="8" xfId="0" applyNumberFormat="1" applyFont="1" applyFill="1" applyBorder="1" applyAlignment="1">
      <alignment horizontal="center" vertical="center" wrapText="1"/>
    </xf>
    <xf numFmtId="164" fontId="4" fillId="4" borderId="3"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3" fontId="8" fillId="4" borderId="2" xfId="0" applyNumberFormat="1" applyFont="1" applyFill="1" applyBorder="1" applyAlignment="1">
      <alignment horizontal="center" vertical="center" wrapText="1"/>
    </xf>
    <xf numFmtId="3" fontId="8" fillId="4" borderId="8" xfId="0" applyNumberFormat="1" applyFont="1" applyFill="1" applyBorder="1" applyAlignment="1">
      <alignment horizontal="center" vertical="center" wrapText="1"/>
    </xf>
    <xf numFmtId="0" fontId="4" fillId="4" borderId="2" xfId="0" applyFont="1" applyFill="1" applyBorder="1" applyAlignment="1">
      <alignment vertical="center" wrapText="1"/>
    </xf>
    <xf numFmtId="0" fontId="4" fillId="4" borderId="8" xfId="0" applyFont="1" applyFill="1" applyBorder="1" applyAlignment="1">
      <alignment vertical="center" wrapText="1"/>
    </xf>
    <xf numFmtId="0" fontId="4" fillId="4" borderId="3" xfId="0" applyFont="1" applyFill="1" applyBorder="1" applyAlignment="1">
      <alignment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8" fillId="4" borderId="2"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3" xfId="0" applyFont="1" applyFill="1" applyBorder="1" applyAlignment="1">
      <alignment horizontal="center" vertical="center" wrapText="1"/>
    </xf>
    <xf numFmtId="167" fontId="8" fillId="4" borderId="2" xfId="0" applyNumberFormat="1" applyFont="1" applyFill="1" applyBorder="1" applyAlignment="1">
      <alignment horizontal="center" vertical="center" wrapText="1"/>
    </xf>
    <xf numFmtId="167" fontId="8" fillId="4" borderId="8" xfId="0" applyNumberFormat="1" applyFont="1" applyFill="1" applyBorder="1" applyAlignment="1">
      <alignment horizontal="center" vertical="center" wrapText="1"/>
    </xf>
    <xf numFmtId="167" fontId="8" fillId="4" borderId="3" xfId="0" applyNumberFormat="1" applyFont="1" applyFill="1" applyBorder="1" applyAlignment="1">
      <alignment horizontal="center" vertical="center" wrapText="1"/>
    </xf>
    <xf numFmtId="3" fontId="8" fillId="4" borderId="3" xfId="0" applyNumberFormat="1"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4" fontId="8" fillId="4" borderId="2" xfId="0" applyNumberFormat="1" applyFont="1" applyFill="1" applyBorder="1" applyAlignment="1">
      <alignment horizontal="center" vertical="center" wrapText="1"/>
    </xf>
    <xf numFmtId="4" fontId="8" fillId="4" borderId="8" xfId="0" applyNumberFormat="1" applyFont="1" applyFill="1" applyBorder="1" applyAlignment="1">
      <alignment horizontal="center" vertical="center" wrapText="1"/>
    </xf>
    <xf numFmtId="4" fontId="8" fillId="4" borderId="3" xfId="0" applyNumberFormat="1" applyFont="1" applyFill="1" applyBorder="1" applyAlignment="1">
      <alignment horizontal="center" vertical="center" wrapText="1"/>
    </xf>
    <xf numFmtId="165" fontId="4" fillId="4" borderId="2" xfId="0" applyNumberFormat="1" applyFont="1" applyFill="1" applyBorder="1" applyAlignment="1">
      <alignment horizontal="center" vertical="center" wrapText="1"/>
    </xf>
    <xf numFmtId="165" fontId="4" fillId="4" borderId="8"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xf>
    <xf numFmtId="0" fontId="32" fillId="4" borderId="0" xfId="0" applyFont="1" applyFill="1" applyAlignment="1">
      <alignment horizontal="center" vertical="center"/>
    </xf>
    <xf numFmtId="3" fontId="30" fillId="4" borderId="2" xfId="0" applyNumberFormat="1" applyFont="1" applyFill="1" applyBorder="1" applyAlignment="1">
      <alignment horizontal="center" vertical="center"/>
    </xf>
    <xf numFmtId="3" fontId="30" fillId="4" borderId="8" xfId="0" applyNumberFormat="1" applyFont="1" applyFill="1" applyBorder="1" applyAlignment="1">
      <alignment horizontal="center" vertical="center"/>
    </xf>
    <xf numFmtId="3" fontId="30" fillId="4" borderId="3" xfId="0" applyNumberFormat="1" applyFont="1" applyFill="1" applyBorder="1" applyAlignment="1">
      <alignment horizontal="center" vertical="center"/>
    </xf>
    <xf numFmtId="165" fontId="4" fillId="4" borderId="3" xfId="0" applyNumberFormat="1" applyFont="1" applyFill="1" applyBorder="1" applyAlignment="1">
      <alignment horizontal="center" vertical="center" wrapText="1"/>
    </xf>
    <xf numFmtId="165" fontId="4" fillId="4" borderId="2" xfId="0" applyNumberFormat="1" applyFont="1" applyFill="1" applyBorder="1" applyAlignment="1">
      <alignment horizontal="center" vertical="center"/>
    </xf>
    <xf numFmtId="165" fontId="4" fillId="4" borderId="8" xfId="0" applyNumberFormat="1" applyFont="1" applyFill="1" applyBorder="1" applyAlignment="1">
      <alignment horizontal="center" vertical="center"/>
    </xf>
    <xf numFmtId="165" fontId="4" fillId="4" borderId="3" xfId="0" applyNumberFormat="1" applyFont="1" applyFill="1" applyBorder="1" applyAlignment="1">
      <alignment horizontal="center" vertical="center"/>
    </xf>
    <xf numFmtId="0" fontId="29" fillId="4" borderId="1" xfId="0"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xf>
    <xf numFmtId="165" fontId="30" fillId="4" borderId="2" xfId="0" applyNumberFormat="1" applyFont="1" applyFill="1" applyBorder="1" applyAlignment="1">
      <alignment horizontal="center" vertical="center"/>
    </xf>
    <xf numFmtId="165" fontId="30" fillId="4" borderId="8" xfId="0" applyNumberFormat="1" applyFont="1" applyFill="1" applyBorder="1" applyAlignment="1">
      <alignment horizontal="center" vertical="center"/>
    </xf>
    <xf numFmtId="165" fontId="30" fillId="4" borderId="3" xfId="0" applyNumberFormat="1" applyFont="1" applyFill="1" applyBorder="1" applyAlignment="1">
      <alignment horizontal="center" vertical="center"/>
    </xf>
    <xf numFmtId="165" fontId="31" fillId="4" borderId="2" xfId="0" applyNumberFormat="1" applyFont="1" applyFill="1" applyBorder="1" applyAlignment="1">
      <alignment horizontal="center" vertical="center"/>
    </xf>
    <xf numFmtId="165" fontId="31" fillId="4" borderId="8" xfId="0" applyNumberFormat="1" applyFont="1" applyFill="1" applyBorder="1" applyAlignment="1">
      <alignment horizontal="center" vertical="center"/>
    </xf>
    <xf numFmtId="165" fontId="31" fillId="4" borderId="3" xfId="0" applyNumberFormat="1" applyFont="1" applyFill="1" applyBorder="1" applyAlignment="1">
      <alignment horizontal="center" vertical="center"/>
    </xf>
    <xf numFmtId="3" fontId="29" fillId="4" borderId="2" xfId="0" applyNumberFormat="1" applyFont="1" applyFill="1" applyBorder="1" applyAlignment="1">
      <alignment horizontal="center" vertical="center"/>
    </xf>
    <xf numFmtId="3" fontId="29" fillId="4" borderId="8" xfId="0" applyNumberFormat="1" applyFont="1" applyFill="1" applyBorder="1" applyAlignment="1">
      <alignment horizontal="center" vertical="center"/>
    </xf>
    <xf numFmtId="3" fontId="29" fillId="4" borderId="3" xfId="0" applyNumberFormat="1" applyFont="1" applyFill="1" applyBorder="1" applyAlignment="1">
      <alignment horizontal="center" vertical="center"/>
    </xf>
    <xf numFmtId="4" fontId="26" fillId="4" borderId="0" xfId="0" applyNumberFormat="1" applyFont="1" applyFill="1" applyAlignment="1">
      <alignment horizontal="center" vertical="center"/>
    </xf>
    <xf numFmtId="4" fontId="7" fillId="4" borderId="0" xfId="0" applyNumberFormat="1" applyFont="1" applyFill="1" applyAlignment="1">
      <alignment horizontal="center" vertical="center"/>
    </xf>
    <xf numFmtId="4" fontId="29" fillId="4" borderId="5" xfId="0" applyNumberFormat="1" applyFont="1" applyFill="1" applyBorder="1" applyAlignment="1">
      <alignment horizontal="center" vertical="center" wrapText="1"/>
    </xf>
    <xf numFmtId="0" fontId="29" fillId="4" borderId="1" xfId="0" applyFont="1" applyFill="1" applyBorder="1" applyAlignment="1">
      <alignment vertical="center"/>
    </xf>
    <xf numFmtId="4" fontId="9" fillId="4" borderId="0" xfId="0" applyNumberFormat="1" applyFont="1" applyFill="1" applyAlignment="1">
      <alignment horizontal="center" vertical="center"/>
    </xf>
  </cellXfs>
  <cellStyles count="4">
    <cellStyle name="Comma" xfId="1" builtinId="3"/>
    <cellStyle name="Normal" xfId="0" builtinId="0"/>
    <cellStyle name="Normal 2" xfId="2"/>
    <cellStyle name="Percent" xfId="3" builtinId="5"/>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71"/>
  <sheetViews>
    <sheetView topLeftCell="B1" workbookViewId="0">
      <selection activeCell="N11" sqref="N11:N13"/>
    </sheetView>
  </sheetViews>
  <sheetFormatPr defaultColWidth="9" defaultRowHeight="14.25"/>
  <cols>
    <col min="1" max="1" width="0" style="2" hidden="1" customWidth="1"/>
    <col min="2" max="2" width="3.875" style="57" customWidth="1"/>
    <col min="3" max="3" width="19.5" style="2" customWidth="1"/>
    <col min="4" max="6" width="8" style="2" hidden="1" customWidth="1"/>
    <col min="7" max="7" width="5" style="2" customWidth="1"/>
    <col min="8" max="8" width="4.875" style="2" customWidth="1"/>
    <col min="9" max="9" width="6.625" style="2" customWidth="1"/>
    <col min="10" max="10" width="5.5" style="2" customWidth="1"/>
    <col min="11" max="11" width="6.25" style="2" customWidth="1"/>
    <col min="12" max="13" width="0" style="2" hidden="1" customWidth="1"/>
    <col min="14" max="14" width="6.125" style="2" customWidth="1"/>
    <col min="15" max="16" width="6.5" style="2" customWidth="1"/>
    <col min="17" max="17" width="8" style="2" hidden="1" customWidth="1"/>
    <col min="18" max="18" width="6.375" style="2" customWidth="1"/>
    <col min="19" max="19" width="6.5" style="2" customWidth="1"/>
    <col min="20" max="20" width="6.25" style="2" customWidth="1"/>
    <col min="21" max="21" width="6.75" style="2" customWidth="1"/>
    <col min="22" max="22" width="9.125" style="2" customWidth="1"/>
    <col min="23" max="23" width="9.625" style="2" customWidth="1"/>
    <col min="24" max="24" width="8.25" style="2" customWidth="1"/>
    <col min="25" max="25" width="9.625" style="2" customWidth="1"/>
    <col min="26" max="26" width="17.875" style="2" customWidth="1"/>
    <col min="27" max="27" width="5.75" style="2" customWidth="1"/>
    <col min="28" max="28" width="5.625" style="2" customWidth="1"/>
    <col min="29" max="29" width="7.625" style="2" customWidth="1"/>
    <col min="30" max="30" width="0" style="2" hidden="1" customWidth="1"/>
    <col min="31" max="31" width="5.875" style="2" customWidth="1"/>
    <col min="32" max="32" width="8.625" style="2" customWidth="1"/>
    <col min="33" max="33" width="10.5" style="2" customWidth="1"/>
    <col min="34" max="34" width="10.125" style="2" customWidth="1"/>
    <col min="35" max="35" width="9" style="2"/>
    <col min="36" max="36" width="15.75" style="2" customWidth="1"/>
    <col min="37" max="16384" width="9" style="2"/>
  </cols>
  <sheetData>
    <row r="1" spans="1:36" ht="27" customHeight="1">
      <c r="B1" s="185" t="s">
        <v>97</v>
      </c>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row>
    <row r="2" spans="1:36" ht="24.75" customHeight="1">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row>
    <row r="3" spans="1:36" ht="18" customHeight="1">
      <c r="A3" s="187" t="s">
        <v>3</v>
      </c>
      <c r="B3" s="187" t="s">
        <v>3</v>
      </c>
      <c r="C3" s="184" t="s">
        <v>98</v>
      </c>
      <c r="D3" s="184" t="s">
        <v>99</v>
      </c>
      <c r="E3" s="184" t="s">
        <v>100</v>
      </c>
      <c r="F3" s="184" t="s">
        <v>41</v>
      </c>
      <c r="G3" s="184"/>
      <c r="H3" s="184"/>
      <c r="I3" s="184"/>
      <c r="J3" s="184"/>
      <c r="K3" s="184"/>
      <c r="L3" s="184"/>
      <c r="M3" s="184"/>
      <c r="N3" s="184"/>
      <c r="O3" s="184"/>
      <c r="P3" s="184"/>
      <c r="Q3" s="184" t="s">
        <v>5</v>
      </c>
      <c r="R3" s="188" t="s">
        <v>6</v>
      </c>
      <c r="S3" s="183" t="s">
        <v>7</v>
      </c>
      <c r="T3" s="183" t="s">
        <v>8</v>
      </c>
      <c r="U3" s="183" t="s">
        <v>9</v>
      </c>
      <c r="V3" s="183"/>
      <c r="W3" s="183"/>
      <c r="X3" s="183"/>
      <c r="Y3" s="183"/>
      <c r="Z3" s="184" t="s">
        <v>42</v>
      </c>
      <c r="AA3" s="184"/>
      <c r="AB3" s="184"/>
      <c r="AC3" s="184"/>
      <c r="AD3" s="184"/>
      <c r="AE3" s="184"/>
      <c r="AF3" s="184"/>
      <c r="AG3" s="184"/>
      <c r="AH3" s="183" t="s">
        <v>10</v>
      </c>
    </row>
    <row r="4" spans="1:36" ht="18.75" customHeight="1">
      <c r="A4" s="187"/>
      <c r="B4" s="187"/>
      <c r="C4" s="184"/>
      <c r="D4" s="184"/>
      <c r="E4" s="184"/>
      <c r="F4" s="184" t="s">
        <v>101</v>
      </c>
      <c r="G4" s="184"/>
      <c r="H4" s="184"/>
      <c r="I4" s="184"/>
      <c r="J4" s="184" t="s">
        <v>102</v>
      </c>
      <c r="K4" s="184"/>
      <c r="L4" s="184"/>
      <c r="M4" s="184"/>
      <c r="N4" s="184"/>
      <c r="O4" s="184"/>
      <c r="P4" s="184"/>
      <c r="Q4" s="184"/>
      <c r="R4" s="188"/>
      <c r="S4" s="183"/>
      <c r="T4" s="183"/>
      <c r="U4" s="183"/>
      <c r="V4" s="183"/>
      <c r="W4" s="183"/>
      <c r="X4" s="183"/>
      <c r="Y4" s="183"/>
      <c r="Z4" s="184"/>
      <c r="AA4" s="184"/>
      <c r="AB4" s="184"/>
      <c r="AC4" s="184"/>
      <c r="AD4" s="184"/>
      <c r="AE4" s="184"/>
      <c r="AF4" s="184"/>
      <c r="AG4" s="184"/>
      <c r="AH4" s="183"/>
    </row>
    <row r="5" spans="1:36" ht="95.25" customHeight="1">
      <c r="A5" s="187"/>
      <c r="B5" s="187"/>
      <c r="C5" s="184"/>
      <c r="D5" s="184"/>
      <c r="E5" s="184"/>
      <c r="F5" s="3" t="s">
        <v>103</v>
      </c>
      <c r="G5" s="3" t="s">
        <v>12</v>
      </c>
      <c r="H5" s="3" t="s">
        <v>13</v>
      </c>
      <c r="I5" s="3" t="s">
        <v>14</v>
      </c>
      <c r="J5" s="3" t="s">
        <v>1</v>
      </c>
      <c r="K5" s="4" t="s">
        <v>15</v>
      </c>
      <c r="L5" s="4" t="s">
        <v>104</v>
      </c>
      <c r="M5" s="4" t="s">
        <v>105</v>
      </c>
      <c r="N5" s="5" t="s">
        <v>17</v>
      </c>
      <c r="O5" s="5" t="s">
        <v>18</v>
      </c>
      <c r="P5" s="4" t="s">
        <v>19</v>
      </c>
      <c r="Q5" s="184"/>
      <c r="R5" s="188"/>
      <c r="S5" s="183"/>
      <c r="T5" s="183"/>
      <c r="U5" s="4" t="s">
        <v>20</v>
      </c>
      <c r="V5" s="4" t="s">
        <v>21</v>
      </c>
      <c r="W5" s="4" t="s">
        <v>22</v>
      </c>
      <c r="X5" s="4" t="s">
        <v>23</v>
      </c>
      <c r="Y5" s="4" t="s">
        <v>24</v>
      </c>
      <c r="Z5" s="3" t="s">
        <v>25</v>
      </c>
      <c r="AA5" s="3" t="s">
        <v>26</v>
      </c>
      <c r="AB5" s="6" t="s">
        <v>27</v>
      </c>
      <c r="AC5" s="4" t="s">
        <v>28</v>
      </c>
      <c r="AD5" s="3" t="s">
        <v>29</v>
      </c>
      <c r="AE5" s="3" t="s">
        <v>30</v>
      </c>
      <c r="AF5" s="4" t="s">
        <v>31</v>
      </c>
      <c r="AG5" s="4" t="s">
        <v>32</v>
      </c>
      <c r="AH5" s="183"/>
    </row>
    <row r="6" spans="1:36" ht="12.75" hidden="1" customHeight="1">
      <c r="A6" s="7"/>
      <c r="B6" s="8"/>
      <c r="C6" s="9"/>
      <c r="D6" s="9"/>
      <c r="E6" s="9"/>
      <c r="F6" s="3"/>
      <c r="G6" s="3"/>
      <c r="H6" s="3"/>
      <c r="I6" s="3"/>
      <c r="J6" s="3"/>
      <c r="K6" s="4"/>
      <c r="L6" s="4"/>
      <c r="M6" s="4"/>
      <c r="N6" s="5"/>
      <c r="O6" s="10"/>
      <c r="P6" s="4"/>
      <c r="Q6" s="3"/>
      <c r="R6" s="11"/>
      <c r="S6" s="4"/>
      <c r="T6" s="4"/>
      <c r="U6" s="12">
        <v>80000</v>
      </c>
      <c r="V6" s="12"/>
      <c r="W6" s="12">
        <f>U6*3</f>
        <v>240000</v>
      </c>
      <c r="X6" s="12">
        <f>17000*30</f>
        <v>510000</v>
      </c>
      <c r="Y6" s="12"/>
      <c r="Z6" s="13"/>
      <c r="AA6" s="3"/>
      <c r="AB6" s="6"/>
      <c r="AC6" s="12"/>
      <c r="AD6" s="3"/>
      <c r="AE6" s="14"/>
      <c r="AF6" s="4"/>
      <c r="AG6" s="12"/>
      <c r="AH6" s="4"/>
    </row>
    <row r="7" spans="1:36" s="17" customFormat="1" ht="26.25" customHeight="1">
      <c r="A7" s="15">
        <v>1</v>
      </c>
      <c r="B7" s="15" t="s">
        <v>106</v>
      </c>
      <c r="C7" s="16" t="s">
        <v>107</v>
      </c>
      <c r="D7" s="16"/>
      <c r="E7" s="16"/>
      <c r="F7" s="16"/>
      <c r="G7" s="16" t="s">
        <v>108</v>
      </c>
      <c r="H7" s="16" t="s">
        <v>109</v>
      </c>
      <c r="I7" s="16" t="s">
        <v>110</v>
      </c>
      <c r="J7" s="16" t="s">
        <v>111</v>
      </c>
      <c r="K7" s="16" t="s">
        <v>112</v>
      </c>
      <c r="L7" s="16"/>
      <c r="M7" s="16"/>
      <c r="N7" s="16" t="s">
        <v>113</v>
      </c>
      <c r="O7" s="16" t="s">
        <v>114</v>
      </c>
      <c r="P7" s="16" t="s">
        <v>115</v>
      </c>
      <c r="Q7" s="16"/>
      <c r="R7" s="16" t="s">
        <v>116</v>
      </c>
      <c r="S7" s="16" t="s">
        <v>117</v>
      </c>
      <c r="T7" s="16" t="s">
        <v>118</v>
      </c>
      <c r="U7" s="16" t="s">
        <v>119</v>
      </c>
      <c r="V7" s="16" t="s">
        <v>120</v>
      </c>
      <c r="W7" s="16" t="s">
        <v>121</v>
      </c>
      <c r="X7" s="16" t="s">
        <v>122</v>
      </c>
      <c r="Y7" s="16" t="s">
        <v>123</v>
      </c>
      <c r="Z7" s="16" t="s">
        <v>124</v>
      </c>
      <c r="AA7" s="16" t="s">
        <v>125</v>
      </c>
      <c r="AB7" s="16" t="s">
        <v>126</v>
      </c>
      <c r="AC7" s="16" t="s">
        <v>127</v>
      </c>
      <c r="AD7" s="16" t="s">
        <v>128</v>
      </c>
      <c r="AE7" s="16" t="s">
        <v>129</v>
      </c>
      <c r="AF7" s="16" t="s">
        <v>130</v>
      </c>
      <c r="AG7" s="16" t="s">
        <v>131</v>
      </c>
      <c r="AH7" s="16" t="s">
        <v>132</v>
      </c>
    </row>
    <row r="8" spans="1:36" s="23" customFormat="1" ht="27" customHeight="1">
      <c r="A8" s="191">
        <v>400</v>
      </c>
      <c r="B8" s="191">
        <v>1</v>
      </c>
      <c r="C8" s="192" t="s">
        <v>54</v>
      </c>
      <c r="D8" s="193" t="s">
        <v>133</v>
      </c>
      <c r="E8" s="189"/>
      <c r="F8" s="18" t="s">
        <v>134</v>
      </c>
      <c r="G8" s="189">
        <v>62</v>
      </c>
      <c r="H8" s="189">
        <v>71</v>
      </c>
      <c r="I8" s="189">
        <v>284.89999999999998</v>
      </c>
      <c r="J8" s="189" t="s">
        <v>2</v>
      </c>
      <c r="K8" s="190">
        <v>324</v>
      </c>
      <c r="L8" s="190"/>
      <c r="M8" s="190"/>
      <c r="N8" s="196">
        <f>I8-K8</f>
        <v>-39.100000000000023</v>
      </c>
      <c r="O8" s="197">
        <v>324</v>
      </c>
      <c r="P8" s="198">
        <v>324</v>
      </c>
      <c r="Q8" s="18"/>
      <c r="R8" s="199">
        <v>100</v>
      </c>
      <c r="S8" s="191">
        <v>12</v>
      </c>
      <c r="T8" s="200">
        <v>6</v>
      </c>
      <c r="U8" s="195">
        <v>80000</v>
      </c>
      <c r="V8" s="195">
        <f>U8*O8</f>
        <v>25920000</v>
      </c>
      <c r="W8" s="195">
        <f>V8*3</f>
        <v>77760000</v>
      </c>
      <c r="X8" s="195">
        <f>S8*T8*X6</f>
        <v>36720000</v>
      </c>
      <c r="Y8" s="195">
        <f>SUM(V8:X10)</f>
        <v>140400000</v>
      </c>
      <c r="Z8" s="19" t="s">
        <v>44</v>
      </c>
      <c r="AA8" s="20" t="s">
        <v>55</v>
      </c>
      <c r="AB8" s="21">
        <v>13</v>
      </c>
      <c r="AC8" s="21">
        <v>4500000</v>
      </c>
      <c r="AD8" s="22"/>
      <c r="AE8" s="20">
        <v>100</v>
      </c>
      <c r="AF8" s="21">
        <f t="shared" ref="AF8:AF10" si="0">AB8*AC8*AE8/100</f>
        <v>58500000</v>
      </c>
      <c r="AG8" s="195">
        <f>AF8+AF9+AF10</f>
        <v>67500000</v>
      </c>
      <c r="AH8" s="194">
        <f>Y8+AG8</f>
        <v>207900000</v>
      </c>
      <c r="AI8" s="23">
        <f>AB8*25</f>
        <v>325</v>
      </c>
    </row>
    <row r="9" spans="1:36" s="23" customFormat="1" ht="42" customHeight="1">
      <c r="A9" s="191"/>
      <c r="B9" s="191"/>
      <c r="C9" s="192"/>
      <c r="D9" s="193"/>
      <c r="E9" s="189"/>
      <c r="F9" s="18"/>
      <c r="G9" s="189"/>
      <c r="H9" s="189"/>
      <c r="I9" s="189"/>
      <c r="J9" s="189"/>
      <c r="K9" s="190"/>
      <c r="L9" s="190"/>
      <c r="M9" s="190"/>
      <c r="N9" s="196"/>
      <c r="O9" s="197"/>
      <c r="P9" s="198"/>
      <c r="Q9" s="18"/>
      <c r="R9" s="199"/>
      <c r="S9" s="191"/>
      <c r="T9" s="200"/>
      <c r="U9" s="195"/>
      <c r="V9" s="195"/>
      <c r="W9" s="195"/>
      <c r="X9" s="195"/>
      <c r="Y9" s="195"/>
      <c r="Z9" s="19" t="s">
        <v>56</v>
      </c>
      <c r="AA9" s="20" t="s">
        <v>55</v>
      </c>
      <c r="AB9" s="21">
        <v>4</v>
      </c>
      <c r="AC9" s="21">
        <v>4500000</v>
      </c>
      <c r="AD9" s="22"/>
      <c r="AE9" s="20">
        <v>50</v>
      </c>
      <c r="AF9" s="21">
        <f t="shared" si="0"/>
        <v>9000000</v>
      </c>
      <c r="AG9" s="195"/>
      <c r="AH9" s="194"/>
    </row>
    <row r="10" spans="1:36" s="23" customFormat="1" ht="30.75" customHeight="1">
      <c r="A10" s="191"/>
      <c r="B10" s="191"/>
      <c r="C10" s="192"/>
      <c r="D10" s="193"/>
      <c r="E10" s="189"/>
      <c r="F10" s="18"/>
      <c r="G10" s="189"/>
      <c r="H10" s="189"/>
      <c r="I10" s="189"/>
      <c r="J10" s="189"/>
      <c r="K10" s="190"/>
      <c r="L10" s="190"/>
      <c r="M10" s="190"/>
      <c r="N10" s="196"/>
      <c r="O10" s="197"/>
      <c r="P10" s="198"/>
      <c r="Q10" s="18"/>
      <c r="R10" s="199"/>
      <c r="S10" s="191"/>
      <c r="T10" s="200"/>
      <c r="U10" s="195"/>
      <c r="V10" s="195"/>
      <c r="W10" s="195"/>
      <c r="X10" s="195"/>
      <c r="Y10" s="195"/>
      <c r="Z10" s="19" t="s">
        <v>57</v>
      </c>
      <c r="AA10" s="20" t="s">
        <v>55</v>
      </c>
      <c r="AB10" s="21">
        <v>10</v>
      </c>
      <c r="AC10" s="21">
        <v>4500000</v>
      </c>
      <c r="AD10" s="22"/>
      <c r="AE10" s="20">
        <v>0</v>
      </c>
      <c r="AF10" s="21">
        <f t="shared" si="0"/>
        <v>0</v>
      </c>
      <c r="AG10" s="195"/>
      <c r="AH10" s="194"/>
    </row>
    <row r="11" spans="1:36" s="23" customFormat="1" ht="34.5" customHeight="1">
      <c r="A11" s="191"/>
      <c r="B11" s="191">
        <v>2</v>
      </c>
      <c r="C11" s="193" t="s">
        <v>58</v>
      </c>
      <c r="D11" s="189" t="s">
        <v>135</v>
      </c>
      <c r="E11" s="189" t="s">
        <v>136</v>
      </c>
      <c r="F11" s="18" t="s">
        <v>134</v>
      </c>
      <c r="G11" s="189">
        <v>62</v>
      </c>
      <c r="H11" s="189">
        <v>394</v>
      </c>
      <c r="I11" s="189">
        <v>360.3</v>
      </c>
      <c r="J11" s="189" t="s">
        <v>2</v>
      </c>
      <c r="K11" s="190">
        <v>360</v>
      </c>
      <c r="L11" s="190"/>
      <c r="M11" s="190"/>
      <c r="N11" s="196">
        <f>I11-K11</f>
        <v>0.30000000000001137</v>
      </c>
      <c r="O11" s="197">
        <v>360</v>
      </c>
      <c r="P11" s="191">
        <v>612</v>
      </c>
      <c r="Q11" s="191"/>
      <c r="R11" s="199">
        <f>O11/P11*100</f>
        <v>58.82352941176471</v>
      </c>
      <c r="S11" s="200">
        <v>6</v>
      </c>
      <c r="T11" s="200">
        <v>1</v>
      </c>
      <c r="U11" s="195">
        <v>80000</v>
      </c>
      <c r="V11" s="195">
        <f>U11*O11</f>
        <v>28800000</v>
      </c>
      <c r="W11" s="195">
        <f>V11*3</f>
        <v>86400000</v>
      </c>
      <c r="X11" s="195">
        <f>S11*T11*X6</f>
        <v>3060000</v>
      </c>
      <c r="Y11" s="195">
        <f>SUM(V11:X13)</f>
        <v>118260000</v>
      </c>
      <c r="Z11" s="19" t="s">
        <v>45</v>
      </c>
      <c r="AA11" s="20" t="s">
        <v>55</v>
      </c>
      <c r="AB11" s="21">
        <v>18</v>
      </c>
      <c r="AC11" s="21">
        <v>2500000</v>
      </c>
      <c r="AD11" s="22"/>
      <c r="AE11" s="20">
        <v>100</v>
      </c>
      <c r="AF11" s="21">
        <f>AB11*AC11*AE11/100</f>
        <v>45000000</v>
      </c>
      <c r="AG11" s="195">
        <f>AF11+AF12+AF13</f>
        <v>51375000</v>
      </c>
      <c r="AH11" s="194">
        <f>Y11+AG11</f>
        <v>169635000</v>
      </c>
      <c r="AI11" s="23">
        <f>AB11*20</f>
        <v>360</v>
      </c>
    </row>
    <row r="12" spans="1:36" s="23" customFormat="1" ht="33" customHeight="1">
      <c r="A12" s="191"/>
      <c r="B12" s="191"/>
      <c r="C12" s="193"/>
      <c r="D12" s="189"/>
      <c r="E12" s="189"/>
      <c r="F12" s="18"/>
      <c r="G12" s="189"/>
      <c r="H12" s="189"/>
      <c r="I12" s="189"/>
      <c r="J12" s="189"/>
      <c r="K12" s="190"/>
      <c r="L12" s="190"/>
      <c r="M12" s="190"/>
      <c r="N12" s="196"/>
      <c r="O12" s="197"/>
      <c r="P12" s="191"/>
      <c r="Q12" s="191"/>
      <c r="R12" s="199"/>
      <c r="S12" s="200"/>
      <c r="T12" s="200"/>
      <c r="U12" s="195"/>
      <c r="V12" s="195"/>
      <c r="W12" s="195"/>
      <c r="X12" s="195"/>
      <c r="Y12" s="195"/>
      <c r="Z12" s="19" t="s">
        <v>59</v>
      </c>
      <c r="AA12" s="20" t="s">
        <v>55</v>
      </c>
      <c r="AB12" s="21">
        <v>4</v>
      </c>
      <c r="AC12" s="21">
        <v>2500000</v>
      </c>
      <c r="AD12" s="22"/>
      <c r="AE12" s="20">
        <v>30</v>
      </c>
      <c r="AF12" s="21">
        <f>AB12*AC12*AE12/100</f>
        <v>3000000</v>
      </c>
      <c r="AG12" s="195"/>
      <c r="AH12" s="194"/>
    </row>
    <row r="13" spans="1:36" s="23" customFormat="1" ht="30" customHeight="1">
      <c r="A13" s="191"/>
      <c r="B13" s="191"/>
      <c r="C13" s="193"/>
      <c r="D13" s="189"/>
      <c r="E13" s="189"/>
      <c r="F13" s="18"/>
      <c r="G13" s="189"/>
      <c r="H13" s="189"/>
      <c r="I13" s="189"/>
      <c r="J13" s="189"/>
      <c r="K13" s="190"/>
      <c r="L13" s="190"/>
      <c r="M13" s="190"/>
      <c r="N13" s="196"/>
      <c r="O13" s="197"/>
      <c r="P13" s="191"/>
      <c r="Q13" s="20"/>
      <c r="R13" s="199"/>
      <c r="S13" s="200"/>
      <c r="T13" s="200"/>
      <c r="U13" s="195"/>
      <c r="V13" s="195"/>
      <c r="W13" s="195"/>
      <c r="X13" s="195"/>
      <c r="Y13" s="195"/>
      <c r="Z13" s="19" t="s">
        <v>60</v>
      </c>
      <c r="AA13" s="20" t="s">
        <v>55</v>
      </c>
      <c r="AB13" s="21">
        <v>3</v>
      </c>
      <c r="AC13" s="21">
        <v>3750000</v>
      </c>
      <c r="AD13" s="22"/>
      <c r="AE13" s="20">
        <v>30</v>
      </c>
      <c r="AF13" s="21">
        <f>AB13*AC13*AE13/100</f>
        <v>3375000</v>
      </c>
      <c r="AG13" s="195"/>
      <c r="AH13" s="194"/>
    </row>
    <row r="14" spans="1:36" s="29" customFormat="1" ht="31.5" customHeight="1">
      <c r="A14" s="201">
        <v>413</v>
      </c>
      <c r="B14" s="201">
        <v>3</v>
      </c>
      <c r="C14" s="202" t="s">
        <v>137</v>
      </c>
      <c r="D14" s="203" t="s">
        <v>138</v>
      </c>
      <c r="E14" s="202"/>
      <c r="F14" s="24"/>
      <c r="G14" s="202">
        <v>62</v>
      </c>
      <c r="H14" s="202">
        <v>86</v>
      </c>
      <c r="I14" s="202">
        <v>1116.5</v>
      </c>
      <c r="J14" s="202" t="s">
        <v>2</v>
      </c>
      <c r="K14" s="204">
        <v>1116</v>
      </c>
      <c r="L14" s="25"/>
      <c r="M14" s="25"/>
      <c r="N14" s="204">
        <f>I14-K14</f>
        <v>0.5</v>
      </c>
      <c r="O14" s="204">
        <f>K14+K19</f>
        <v>1332</v>
      </c>
      <c r="P14" s="204">
        <v>1764</v>
      </c>
      <c r="Q14" s="204"/>
      <c r="R14" s="204">
        <f>O14/P14*100</f>
        <v>75.510204081632651</v>
      </c>
      <c r="S14" s="208">
        <v>12</v>
      </c>
      <c r="T14" s="208">
        <v>5</v>
      </c>
      <c r="U14" s="207">
        <v>80000</v>
      </c>
      <c r="V14" s="207">
        <f>U14*O14</f>
        <v>106560000</v>
      </c>
      <c r="W14" s="207">
        <f>V14*3</f>
        <v>319680000</v>
      </c>
      <c r="X14" s="207">
        <f>S14*T14*X6</f>
        <v>30600000</v>
      </c>
      <c r="Y14" s="207">
        <f>SUM(V14:X20)</f>
        <v>456840000</v>
      </c>
      <c r="Z14" s="26" t="s">
        <v>45</v>
      </c>
      <c r="AA14" s="27" t="s">
        <v>55</v>
      </c>
      <c r="AB14" s="28">
        <v>36</v>
      </c>
      <c r="AC14" s="28">
        <v>2500000</v>
      </c>
      <c r="AD14" s="27"/>
      <c r="AE14" s="27">
        <v>100</v>
      </c>
      <c r="AF14" s="28">
        <f t="shared" ref="AF14:AF70" si="1">AB14*AC14*AE14/100</f>
        <v>90000000</v>
      </c>
      <c r="AG14" s="206">
        <f>SUM(AF14:AF18)</f>
        <v>94320000</v>
      </c>
      <c r="AH14" s="205">
        <f>Y14+AG14+AG19</f>
        <v>590040000</v>
      </c>
      <c r="AI14" s="29">
        <f>AB14*20</f>
        <v>720</v>
      </c>
    </row>
    <row r="15" spans="1:36" s="29" customFormat="1" ht="31.5" customHeight="1">
      <c r="A15" s="201"/>
      <c r="B15" s="201"/>
      <c r="C15" s="202"/>
      <c r="D15" s="203"/>
      <c r="E15" s="202"/>
      <c r="F15" s="24"/>
      <c r="G15" s="202"/>
      <c r="H15" s="202"/>
      <c r="I15" s="202"/>
      <c r="J15" s="202"/>
      <c r="K15" s="204"/>
      <c r="L15" s="25"/>
      <c r="M15" s="25"/>
      <c r="N15" s="204"/>
      <c r="O15" s="204"/>
      <c r="P15" s="204"/>
      <c r="Q15" s="204"/>
      <c r="R15" s="204"/>
      <c r="S15" s="208"/>
      <c r="T15" s="208"/>
      <c r="U15" s="207"/>
      <c r="V15" s="207"/>
      <c r="W15" s="207"/>
      <c r="X15" s="207"/>
      <c r="Y15" s="207"/>
      <c r="Z15" s="26" t="s">
        <v>139</v>
      </c>
      <c r="AA15" s="27" t="s">
        <v>55</v>
      </c>
      <c r="AB15" s="28">
        <v>68</v>
      </c>
      <c r="AC15" s="28">
        <v>60000</v>
      </c>
      <c r="AD15" s="27"/>
      <c r="AE15" s="27">
        <v>80</v>
      </c>
      <c r="AF15" s="28">
        <f t="shared" si="1"/>
        <v>3264000</v>
      </c>
      <c r="AG15" s="206"/>
      <c r="AH15" s="205"/>
      <c r="AI15" s="29">
        <f>AB15*4.5</f>
        <v>306</v>
      </c>
      <c r="AJ15" s="26"/>
    </row>
    <row r="16" spans="1:36" s="29" customFormat="1" ht="24" customHeight="1">
      <c r="A16" s="201"/>
      <c r="B16" s="201"/>
      <c r="C16" s="202"/>
      <c r="D16" s="203"/>
      <c r="E16" s="202"/>
      <c r="F16" s="24"/>
      <c r="G16" s="202"/>
      <c r="H16" s="202"/>
      <c r="I16" s="202"/>
      <c r="J16" s="202"/>
      <c r="K16" s="204"/>
      <c r="L16" s="25"/>
      <c r="M16" s="25"/>
      <c r="N16" s="204"/>
      <c r="O16" s="204"/>
      <c r="P16" s="204"/>
      <c r="Q16" s="204"/>
      <c r="R16" s="204"/>
      <c r="S16" s="208"/>
      <c r="T16" s="208"/>
      <c r="U16" s="207"/>
      <c r="V16" s="207"/>
      <c r="W16" s="207"/>
      <c r="X16" s="207"/>
      <c r="Y16" s="207"/>
      <c r="Z16" s="26" t="s">
        <v>140</v>
      </c>
      <c r="AA16" s="27" t="s">
        <v>55</v>
      </c>
      <c r="AB16" s="28">
        <v>22</v>
      </c>
      <c r="AC16" s="28">
        <v>60000</v>
      </c>
      <c r="AD16" s="27"/>
      <c r="AE16" s="27">
        <v>80</v>
      </c>
      <c r="AF16" s="28">
        <f t="shared" si="1"/>
        <v>1056000</v>
      </c>
      <c r="AG16" s="206"/>
      <c r="AH16" s="205"/>
      <c r="AI16" s="29">
        <f>AB16*4</f>
        <v>88</v>
      </c>
      <c r="AJ16" s="29" t="s">
        <v>141</v>
      </c>
    </row>
    <row r="17" spans="1:37" s="29" customFormat="1" ht="31.5" customHeight="1">
      <c r="A17" s="201"/>
      <c r="B17" s="201"/>
      <c r="C17" s="202"/>
      <c r="D17" s="203"/>
      <c r="E17" s="202"/>
      <c r="F17" s="24"/>
      <c r="G17" s="202"/>
      <c r="H17" s="202"/>
      <c r="I17" s="202"/>
      <c r="J17" s="202"/>
      <c r="K17" s="204"/>
      <c r="L17" s="25"/>
      <c r="M17" s="25"/>
      <c r="N17" s="204"/>
      <c r="O17" s="204"/>
      <c r="P17" s="204"/>
      <c r="Q17" s="204"/>
      <c r="R17" s="204"/>
      <c r="S17" s="208"/>
      <c r="T17" s="208"/>
      <c r="U17" s="207"/>
      <c r="V17" s="207"/>
      <c r="W17" s="207"/>
      <c r="X17" s="207"/>
      <c r="Y17" s="207"/>
      <c r="Z17" s="26" t="s">
        <v>142</v>
      </c>
      <c r="AA17" s="27" t="s">
        <v>55</v>
      </c>
      <c r="AB17" s="28">
        <v>78</v>
      </c>
      <c r="AC17" s="28">
        <v>60000</v>
      </c>
      <c r="AD17" s="27"/>
      <c r="AE17" s="27">
        <v>0</v>
      </c>
      <c r="AF17" s="28">
        <f t="shared" si="1"/>
        <v>0</v>
      </c>
      <c r="AG17" s="206"/>
      <c r="AH17" s="205"/>
    </row>
    <row r="18" spans="1:37" s="29" customFormat="1" ht="18.75" customHeight="1">
      <c r="A18" s="201"/>
      <c r="B18" s="201"/>
      <c r="C18" s="202"/>
      <c r="D18" s="203"/>
      <c r="E18" s="202"/>
      <c r="F18" s="24"/>
      <c r="G18" s="202"/>
      <c r="H18" s="202"/>
      <c r="I18" s="202"/>
      <c r="J18" s="202"/>
      <c r="K18" s="204"/>
      <c r="L18" s="25"/>
      <c r="M18" s="25"/>
      <c r="N18" s="204"/>
      <c r="O18" s="204"/>
      <c r="P18" s="204"/>
      <c r="Q18" s="204"/>
      <c r="R18" s="204"/>
      <c r="S18" s="208"/>
      <c r="T18" s="208"/>
      <c r="U18" s="207"/>
      <c r="V18" s="207"/>
      <c r="W18" s="207"/>
      <c r="X18" s="207"/>
      <c r="Y18" s="207"/>
      <c r="Z18" s="26" t="s">
        <v>35</v>
      </c>
      <c r="AA18" s="30" t="s">
        <v>36</v>
      </c>
      <c r="AB18" s="28">
        <v>1</v>
      </c>
      <c r="AC18" s="28">
        <v>2400000</v>
      </c>
      <c r="AD18" s="27"/>
      <c r="AE18" s="27">
        <v>0</v>
      </c>
      <c r="AF18" s="28">
        <f t="shared" si="1"/>
        <v>0</v>
      </c>
      <c r="AG18" s="206"/>
      <c r="AH18" s="205"/>
    </row>
    <row r="19" spans="1:37" s="29" customFormat="1" ht="21" customHeight="1">
      <c r="A19" s="201">
        <v>414</v>
      </c>
      <c r="B19" s="201"/>
      <c r="C19" s="202"/>
      <c r="D19" s="203"/>
      <c r="E19" s="202"/>
      <c r="F19" s="24"/>
      <c r="G19" s="202">
        <v>64</v>
      </c>
      <c r="H19" s="202">
        <v>286</v>
      </c>
      <c r="I19" s="202">
        <v>228.7</v>
      </c>
      <c r="J19" s="202" t="s">
        <v>2</v>
      </c>
      <c r="K19" s="204">
        <v>216</v>
      </c>
      <c r="L19" s="25"/>
      <c r="M19" s="25"/>
      <c r="N19" s="204">
        <f>I19-K19</f>
        <v>12.699999999999989</v>
      </c>
      <c r="O19" s="204"/>
      <c r="P19" s="204"/>
      <c r="Q19" s="204"/>
      <c r="R19" s="204"/>
      <c r="S19" s="208"/>
      <c r="T19" s="208"/>
      <c r="U19" s="207"/>
      <c r="V19" s="207"/>
      <c r="W19" s="207"/>
      <c r="X19" s="207"/>
      <c r="Y19" s="207"/>
      <c r="Z19" s="26" t="s">
        <v>37</v>
      </c>
      <c r="AA19" s="27" t="s">
        <v>39</v>
      </c>
      <c r="AB19" s="31">
        <v>216</v>
      </c>
      <c r="AC19" s="28">
        <v>180000</v>
      </c>
      <c r="AD19" s="27"/>
      <c r="AE19" s="27">
        <v>100</v>
      </c>
      <c r="AF19" s="28">
        <f t="shared" si="1"/>
        <v>38880000</v>
      </c>
      <c r="AG19" s="206">
        <f>AF19+AF20</f>
        <v>38880000</v>
      </c>
      <c r="AH19" s="205"/>
      <c r="AJ19" s="29" t="s">
        <v>48</v>
      </c>
    </row>
    <row r="20" spans="1:37" s="29" customFormat="1" ht="23.25" customHeight="1">
      <c r="A20" s="201"/>
      <c r="B20" s="201"/>
      <c r="C20" s="202"/>
      <c r="D20" s="203"/>
      <c r="E20" s="202"/>
      <c r="F20" s="24"/>
      <c r="G20" s="202"/>
      <c r="H20" s="202"/>
      <c r="I20" s="202"/>
      <c r="J20" s="202"/>
      <c r="K20" s="204"/>
      <c r="L20" s="25"/>
      <c r="M20" s="25"/>
      <c r="N20" s="204"/>
      <c r="O20" s="204"/>
      <c r="P20" s="204"/>
      <c r="Q20" s="204"/>
      <c r="R20" s="204"/>
      <c r="S20" s="208"/>
      <c r="T20" s="208"/>
      <c r="U20" s="207"/>
      <c r="V20" s="207"/>
      <c r="W20" s="207"/>
      <c r="X20" s="207"/>
      <c r="Y20" s="207"/>
      <c r="Z20" s="26" t="s">
        <v>35</v>
      </c>
      <c r="AA20" s="30" t="s">
        <v>36</v>
      </c>
      <c r="AB20" s="28">
        <v>1</v>
      </c>
      <c r="AC20" s="28">
        <v>2400000</v>
      </c>
      <c r="AD20" s="27"/>
      <c r="AE20" s="27">
        <v>0</v>
      </c>
      <c r="AF20" s="28">
        <f t="shared" si="1"/>
        <v>0</v>
      </c>
      <c r="AG20" s="206"/>
      <c r="AH20" s="205"/>
    </row>
    <row r="21" spans="1:37" s="35" customFormat="1" ht="29.25" customHeight="1">
      <c r="A21" s="20"/>
      <c r="B21" s="191">
        <v>4</v>
      </c>
      <c r="C21" s="189" t="s">
        <v>61</v>
      </c>
      <c r="D21" s="193" t="s">
        <v>143</v>
      </c>
      <c r="E21" s="189"/>
      <c r="F21" s="189">
        <v>3</v>
      </c>
      <c r="G21" s="189">
        <v>64</v>
      </c>
      <c r="H21" s="189">
        <v>256</v>
      </c>
      <c r="I21" s="189">
        <v>211.3</v>
      </c>
      <c r="J21" s="189" t="s">
        <v>2</v>
      </c>
      <c r="K21" s="190">
        <v>216</v>
      </c>
      <c r="L21" s="32">
        <v>-4.6999999999999886</v>
      </c>
      <c r="M21" s="191"/>
      <c r="N21" s="196">
        <f>I21-K21</f>
        <v>-4.6999999999999886</v>
      </c>
      <c r="O21" s="196">
        <f>K21+K23</f>
        <v>792</v>
      </c>
      <c r="P21" s="191">
        <v>792</v>
      </c>
      <c r="Q21" s="191"/>
      <c r="R21" s="191">
        <v>100</v>
      </c>
      <c r="S21" s="191">
        <v>12</v>
      </c>
      <c r="T21" s="191">
        <v>2</v>
      </c>
      <c r="U21" s="195">
        <v>80000</v>
      </c>
      <c r="V21" s="195">
        <f>U21*O21</f>
        <v>63360000</v>
      </c>
      <c r="W21" s="195">
        <f>V21*3</f>
        <v>190080000</v>
      </c>
      <c r="X21" s="195">
        <f>S21*T21*X6</f>
        <v>12240000</v>
      </c>
      <c r="Y21" s="195">
        <f>SUM(V21:X24)</f>
        <v>265680000</v>
      </c>
      <c r="Z21" s="19" t="s">
        <v>62</v>
      </c>
      <c r="AA21" s="20" t="s">
        <v>55</v>
      </c>
      <c r="AB21" s="21">
        <v>7</v>
      </c>
      <c r="AC21" s="21">
        <v>3850000</v>
      </c>
      <c r="AD21" s="33"/>
      <c r="AE21" s="20">
        <v>100</v>
      </c>
      <c r="AF21" s="21">
        <f t="shared" si="1"/>
        <v>26950000</v>
      </c>
      <c r="AG21" s="195">
        <f>SUM(AF21:AF22)</f>
        <v>30550000</v>
      </c>
      <c r="AH21" s="194">
        <f>Y21+AG21+AG23</f>
        <v>401530000</v>
      </c>
      <c r="AI21" s="34">
        <f>AB21*25</f>
        <v>175</v>
      </c>
      <c r="AJ21" s="35" t="s">
        <v>63</v>
      </c>
    </row>
    <row r="22" spans="1:37" s="35" customFormat="1" ht="29.25" customHeight="1">
      <c r="A22" s="20"/>
      <c r="B22" s="191"/>
      <c r="C22" s="189"/>
      <c r="D22" s="193"/>
      <c r="E22" s="189"/>
      <c r="F22" s="189"/>
      <c r="G22" s="189"/>
      <c r="H22" s="189"/>
      <c r="I22" s="189"/>
      <c r="J22" s="189"/>
      <c r="K22" s="190"/>
      <c r="L22" s="32"/>
      <c r="M22" s="191"/>
      <c r="N22" s="191"/>
      <c r="O22" s="191"/>
      <c r="P22" s="191"/>
      <c r="Q22" s="191"/>
      <c r="R22" s="191"/>
      <c r="S22" s="191"/>
      <c r="T22" s="191"/>
      <c r="U22" s="195"/>
      <c r="V22" s="195"/>
      <c r="W22" s="195"/>
      <c r="X22" s="195"/>
      <c r="Y22" s="195"/>
      <c r="Z22" s="19" t="s">
        <v>47</v>
      </c>
      <c r="AA22" s="20" t="s">
        <v>55</v>
      </c>
      <c r="AB22" s="21">
        <v>4</v>
      </c>
      <c r="AC22" s="21">
        <v>1800000</v>
      </c>
      <c r="AD22" s="33"/>
      <c r="AE22" s="20">
        <v>50</v>
      </c>
      <c r="AF22" s="21">
        <f>AB22*AC22*AE22/100</f>
        <v>3600000</v>
      </c>
      <c r="AG22" s="195"/>
      <c r="AH22" s="209"/>
      <c r="AI22" s="34"/>
    </row>
    <row r="23" spans="1:37" s="35" customFormat="1" ht="32.25" customHeight="1">
      <c r="A23" s="20"/>
      <c r="B23" s="191"/>
      <c r="C23" s="189"/>
      <c r="D23" s="19"/>
      <c r="E23" s="36"/>
      <c r="F23" s="36"/>
      <c r="G23" s="189">
        <v>67</v>
      </c>
      <c r="H23" s="189">
        <v>5</v>
      </c>
      <c r="I23" s="189">
        <v>576</v>
      </c>
      <c r="J23" s="189" t="s">
        <v>2</v>
      </c>
      <c r="K23" s="189">
        <v>576</v>
      </c>
      <c r="L23" s="189"/>
      <c r="M23" s="189"/>
      <c r="N23" s="189"/>
      <c r="O23" s="191"/>
      <c r="P23" s="191"/>
      <c r="Q23" s="191"/>
      <c r="R23" s="191"/>
      <c r="S23" s="191"/>
      <c r="T23" s="191"/>
      <c r="U23" s="195"/>
      <c r="V23" s="195"/>
      <c r="W23" s="195"/>
      <c r="X23" s="195"/>
      <c r="Y23" s="195"/>
      <c r="Z23" s="19" t="s">
        <v>44</v>
      </c>
      <c r="AA23" s="36" t="s">
        <v>55</v>
      </c>
      <c r="AB23" s="20">
        <v>21</v>
      </c>
      <c r="AC23" s="21">
        <v>4500000</v>
      </c>
      <c r="AD23" s="21"/>
      <c r="AE23" s="20">
        <v>100</v>
      </c>
      <c r="AF23" s="21">
        <f t="shared" si="1"/>
        <v>94500000</v>
      </c>
      <c r="AG23" s="195">
        <f>SUM(AF23:AF24)</f>
        <v>105300000</v>
      </c>
      <c r="AH23" s="209"/>
      <c r="AI23" s="37">
        <f>AB23*25</f>
        <v>525</v>
      </c>
    </row>
    <row r="24" spans="1:37" s="35" customFormat="1" ht="27" customHeight="1">
      <c r="A24" s="20"/>
      <c r="B24" s="191"/>
      <c r="C24" s="189"/>
      <c r="D24" s="19"/>
      <c r="E24" s="36"/>
      <c r="F24" s="36"/>
      <c r="G24" s="189"/>
      <c r="H24" s="189"/>
      <c r="I24" s="189"/>
      <c r="J24" s="189"/>
      <c r="K24" s="189"/>
      <c r="L24" s="189"/>
      <c r="M24" s="189"/>
      <c r="N24" s="189"/>
      <c r="O24" s="191"/>
      <c r="P24" s="191"/>
      <c r="Q24" s="191"/>
      <c r="R24" s="191"/>
      <c r="S24" s="191"/>
      <c r="T24" s="191"/>
      <c r="U24" s="195"/>
      <c r="V24" s="195"/>
      <c r="W24" s="195"/>
      <c r="X24" s="195"/>
      <c r="Y24" s="195"/>
      <c r="Z24" s="19" t="s">
        <v>47</v>
      </c>
      <c r="AA24" s="36" t="s">
        <v>55</v>
      </c>
      <c r="AB24" s="20">
        <v>12</v>
      </c>
      <c r="AC24" s="21">
        <v>1800000</v>
      </c>
      <c r="AD24" s="21"/>
      <c r="AE24" s="20">
        <v>50</v>
      </c>
      <c r="AF24" s="21">
        <f t="shared" si="1"/>
        <v>10800000</v>
      </c>
      <c r="AG24" s="195"/>
      <c r="AH24" s="209"/>
      <c r="AI24" s="37">
        <f>AB24*20</f>
        <v>240</v>
      </c>
    </row>
    <row r="25" spans="1:37" s="35" customFormat="1" ht="27" customHeight="1">
      <c r="A25" s="20"/>
      <c r="B25" s="191">
        <v>5</v>
      </c>
      <c r="C25" s="193" t="s">
        <v>64</v>
      </c>
      <c r="D25" s="193" t="s">
        <v>144</v>
      </c>
      <c r="E25" s="193" t="s">
        <v>145</v>
      </c>
      <c r="F25" s="189">
        <v>3</v>
      </c>
      <c r="G25" s="191">
        <v>64</v>
      </c>
      <c r="H25" s="191">
        <v>289</v>
      </c>
      <c r="I25" s="191">
        <v>228.2</v>
      </c>
      <c r="J25" s="191" t="s">
        <v>2</v>
      </c>
      <c r="K25" s="191">
        <v>216</v>
      </c>
      <c r="L25" s="191">
        <v>12.199999999999989</v>
      </c>
      <c r="M25" s="191"/>
      <c r="N25" s="191">
        <f>I25-K25</f>
        <v>12.199999999999989</v>
      </c>
      <c r="O25" s="196">
        <f>K25+K28+K29</f>
        <v>1080</v>
      </c>
      <c r="P25" s="196">
        <v>1080</v>
      </c>
      <c r="Q25" s="199"/>
      <c r="R25" s="200">
        <v>100</v>
      </c>
      <c r="S25" s="200">
        <v>12</v>
      </c>
      <c r="T25" s="200">
        <v>3</v>
      </c>
      <c r="U25" s="195">
        <v>80000</v>
      </c>
      <c r="V25" s="195">
        <f>U25*O25</f>
        <v>86400000</v>
      </c>
      <c r="W25" s="195">
        <f>V25*3</f>
        <v>259200000</v>
      </c>
      <c r="X25" s="195">
        <f>S25*T25*X6</f>
        <v>18360000</v>
      </c>
      <c r="Y25" s="195">
        <f>SUM(V25:X29)</f>
        <v>363960000</v>
      </c>
      <c r="Z25" s="19" t="s">
        <v>44</v>
      </c>
      <c r="AA25" s="20" t="s">
        <v>55</v>
      </c>
      <c r="AB25" s="21">
        <v>7</v>
      </c>
      <c r="AC25" s="21">
        <v>4500000</v>
      </c>
      <c r="AD25" s="33"/>
      <c r="AE25" s="20">
        <v>100</v>
      </c>
      <c r="AF25" s="21">
        <f t="shared" si="1"/>
        <v>31500000</v>
      </c>
      <c r="AG25" s="195">
        <f>SUM(AF25:AF27)</f>
        <v>41125000</v>
      </c>
      <c r="AH25" s="194">
        <f>Y25+AG25+AG28+AG29</f>
        <v>525785000</v>
      </c>
      <c r="AI25" s="38">
        <f>AB25*25</f>
        <v>175</v>
      </c>
    </row>
    <row r="26" spans="1:37" s="35" customFormat="1" ht="31.5" customHeight="1">
      <c r="A26" s="20"/>
      <c r="B26" s="191"/>
      <c r="C26" s="193"/>
      <c r="D26" s="193"/>
      <c r="E26" s="193"/>
      <c r="F26" s="189"/>
      <c r="G26" s="191"/>
      <c r="H26" s="191"/>
      <c r="I26" s="191"/>
      <c r="J26" s="191"/>
      <c r="K26" s="191"/>
      <c r="L26" s="191"/>
      <c r="M26" s="191"/>
      <c r="N26" s="191"/>
      <c r="O26" s="196"/>
      <c r="P26" s="196"/>
      <c r="Q26" s="199"/>
      <c r="R26" s="200"/>
      <c r="S26" s="200"/>
      <c r="T26" s="200"/>
      <c r="U26" s="195"/>
      <c r="V26" s="195"/>
      <c r="W26" s="195"/>
      <c r="X26" s="195"/>
      <c r="Y26" s="195"/>
      <c r="Z26" s="19" t="s">
        <v>62</v>
      </c>
      <c r="AA26" s="20" t="s">
        <v>55</v>
      </c>
      <c r="AB26" s="21">
        <v>2</v>
      </c>
      <c r="AC26" s="21">
        <v>3850000</v>
      </c>
      <c r="AD26" s="33"/>
      <c r="AE26" s="20">
        <v>100</v>
      </c>
      <c r="AF26" s="21">
        <f t="shared" si="1"/>
        <v>7700000</v>
      </c>
      <c r="AG26" s="195"/>
      <c r="AH26" s="209"/>
      <c r="AI26" s="38">
        <f>AB26*25</f>
        <v>50</v>
      </c>
    </row>
    <row r="27" spans="1:37" s="35" customFormat="1" ht="42.75" customHeight="1">
      <c r="A27" s="20"/>
      <c r="B27" s="191"/>
      <c r="C27" s="193"/>
      <c r="D27" s="193"/>
      <c r="E27" s="193"/>
      <c r="F27" s="189"/>
      <c r="G27" s="191"/>
      <c r="H27" s="191"/>
      <c r="I27" s="191"/>
      <c r="J27" s="191"/>
      <c r="K27" s="191"/>
      <c r="L27" s="191"/>
      <c r="M27" s="191"/>
      <c r="N27" s="191"/>
      <c r="O27" s="196"/>
      <c r="P27" s="196"/>
      <c r="Q27" s="199"/>
      <c r="R27" s="200"/>
      <c r="S27" s="200"/>
      <c r="T27" s="200"/>
      <c r="U27" s="195"/>
      <c r="V27" s="195"/>
      <c r="W27" s="195"/>
      <c r="X27" s="195"/>
      <c r="Y27" s="195"/>
      <c r="Z27" s="19" t="s">
        <v>65</v>
      </c>
      <c r="AA27" s="20" t="s">
        <v>55</v>
      </c>
      <c r="AB27" s="21">
        <v>1</v>
      </c>
      <c r="AC27" s="21">
        <v>3850000</v>
      </c>
      <c r="AD27" s="33"/>
      <c r="AE27" s="20">
        <v>50</v>
      </c>
      <c r="AF27" s="21">
        <f>AB27*AC27*AE27/100</f>
        <v>1925000</v>
      </c>
      <c r="AG27" s="195"/>
      <c r="AH27" s="209"/>
      <c r="AI27" s="38"/>
    </row>
    <row r="28" spans="1:37" s="35" customFormat="1" ht="27" customHeight="1">
      <c r="A28" s="20"/>
      <c r="B28" s="191"/>
      <c r="C28" s="193"/>
      <c r="D28" s="193"/>
      <c r="E28" s="193"/>
      <c r="F28" s="36">
        <v>1</v>
      </c>
      <c r="G28" s="20">
        <v>62</v>
      </c>
      <c r="H28" s="36">
        <v>90</v>
      </c>
      <c r="I28" s="36">
        <v>648.20000000000005</v>
      </c>
      <c r="J28" s="36" t="s">
        <v>2</v>
      </c>
      <c r="K28" s="39">
        <v>648</v>
      </c>
      <c r="L28" s="32">
        <v>0.20000000000004547</v>
      </c>
      <c r="M28" s="40"/>
      <c r="N28" s="41">
        <f t="shared" ref="N28:N29" si="2">I28-K28</f>
        <v>0.20000000000004547</v>
      </c>
      <c r="O28" s="196"/>
      <c r="P28" s="196"/>
      <c r="Q28" s="199"/>
      <c r="R28" s="200"/>
      <c r="S28" s="200"/>
      <c r="T28" s="200"/>
      <c r="U28" s="195"/>
      <c r="V28" s="195"/>
      <c r="W28" s="195"/>
      <c r="X28" s="195"/>
      <c r="Y28" s="195"/>
      <c r="Z28" s="19" t="s">
        <v>45</v>
      </c>
      <c r="AA28" s="20" t="s">
        <v>55</v>
      </c>
      <c r="AB28" s="21">
        <v>31</v>
      </c>
      <c r="AC28" s="21">
        <v>2500000</v>
      </c>
      <c r="AD28" s="33"/>
      <c r="AE28" s="20">
        <v>100</v>
      </c>
      <c r="AF28" s="21">
        <f t="shared" si="1"/>
        <v>77500000</v>
      </c>
      <c r="AG28" s="21">
        <f>AF28</f>
        <v>77500000</v>
      </c>
      <c r="AH28" s="209"/>
      <c r="AI28" s="38">
        <f>AB28*20</f>
        <v>620</v>
      </c>
    </row>
    <row r="29" spans="1:37" s="35" customFormat="1" ht="23.25" customHeight="1">
      <c r="A29" s="20"/>
      <c r="B29" s="191"/>
      <c r="C29" s="193"/>
      <c r="D29" s="19"/>
      <c r="E29" s="19"/>
      <c r="F29" s="36"/>
      <c r="G29" s="20">
        <v>67</v>
      </c>
      <c r="H29" s="36">
        <v>15</v>
      </c>
      <c r="I29" s="36">
        <v>216</v>
      </c>
      <c r="J29" s="36" t="s">
        <v>2</v>
      </c>
      <c r="K29" s="39">
        <v>216</v>
      </c>
      <c r="L29" s="32"/>
      <c r="M29" s="40"/>
      <c r="N29" s="41">
        <f t="shared" si="2"/>
        <v>0</v>
      </c>
      <c r="O29" s="196"/>
      <c r="P29" s="196"/>
      <c r="Q29" s="199"/>
      <c r="R29" s="200"/>
      <c r="S29" s="200"/>
      <c r="T29" s="200"/>
      <c r="U29" s="195"/>
      <c r="V29" s="195"/>
      <c r="W29" s="195"/>
      <c r="X29" s="195"/>
      <c r="Y29" s="195"/>
      <c r="Z29" s="19" t="s">
        <v>66</v>
      </c>
      <c r="AA29" s="20" t="s">
        <v>39</v>
      </c>
      <c r="AB29" s="20">
        <v>216</v>
      </c>
      <c r="AC29" s="21">
        <v>200000</v>
      </c>
      <c r="AD29" s="21"/>
      <c r="AE29" s="20">
        <v>100</v>
      </c>
      <c r="AF29" s="21">
        <f>AB29*AC29*100/100</f>
        <v>43200000</v>
      </c>
      <c r="AG29" s="21">
        <f>AF29</f>
        <v>43200000</v>
      </c>
      <c r="AH29" s="209"/>
      <c r="AI29" s="42"/>
    </row>
    <row r="30" spans="1:37" s="23" customFormat="1" ht="27" customHeight="1">
      <c r="A30" s="191">
        <v>459</v>
      </c>
      <c r="B30" s="191">
        <v>6</v>
      </c>
      <c r="C30" s="189" t="s">
        <v>67</v>
      </c>
      <c r="D30" s="193" t="s">
        <v>146</v>
      </c>
      <c r="E30" s="189"/>
      <c r="F30" s="43"/>
      <c r="G30" s="189">
        <v>62</v>
      </c>
      <c r="H30" s="189">
        <v>462</v>
      </c>
      <c r="I30" s="189">
        <v>1553.9</v>
      </c>
      <c r="J30" s="189" t="s">
        <v>2</v>
      </c>
      <c r="K30" s="190">
        <v>1519.2</v>
      </c>
      <c r="L30" s="190"/>
      <c r="M30" s="190"/>
      <c r="N30" s="190">
        <f>I30-K30</f>
        <v>34.700000000000045</v>
      </c>
      <c r="O30" s="190">
        <f>K30+K36</f>
        <v>1771.2</v>
      </c>
      <c r="P30" s="190">
        <v>2220</v>
      </c>
      <c r="Q30" s="190"/>
      <c r="R30" s="190">
        <f>O30/P30*100</f>
        <v>79.78378378378379</v>
      </c>
      <c r="S30" s="212">
        <v>12</v>
      </c>
      <c r="T30" s="212">
        <v>7</v>
      </c>
      <c r="U30" s="211">
        <v>80000</v>
      </c>
      <c r="V30" s="211">
        <f>U30*O30</f>
        <v>141696000</v>
      </c>
      <c r="W30" s="211">
        <f>V30*3</f>
        <v>425088000</v>
      </c>
      <c r="X30" s="211">
        <f>S30*T30*X6</f>
        <v>42840000</v>
      </c>
      <c r="Y30" s="211">
        <f>SUM(V30:X37)</f>
        <v>609624000</v>
      </c>
      <c r="Z30" s="19" t="s">
        <v>68</v>
      </c>
      <c r="AA30" s="20" t="s">
        <v>55</v>
      </c>
      <c r="AB30" s="21">
        <v>16</v>
      </c>
      <c r="AC30" s="21">
        <v>3000000</v>
      </c>
      <c r="AD30" s="33"/>
      <c r="AE30" s="20">
        <v>100</v>
      </c>
      <c r="AF30" s="21">
        <f t="shared" ref="AF30:AF35" si="3">AB30*AC30*AE30/100</f>
        <v>48000000</v>
      </c>
      <c r="AG30" s="195">
        <f>SUM(AF30:AF35)</f>
        <v>225750000</v>
      </c>
      <c r="AH30" s="194">
        <f>Y30+AG30+AG36</f>
        <v>877124000</v>
      </c>
      <c r="AI30" s="23">
        <f>AB30*20</f>
        <v>320</v>
      </c>
      <c r="AK30" s="210" t="s">
        <v>69</v>
      </c>
    </row>
    <row r="31" spans="1:37" s="23" customFormat="1" ht="27" customHeight="1">
      <c r="A31" s="191"/>
      <c r="B31" s="191"/>
      <c r="C31" s="189"/>
      <c r="D31" s="193"/>
      <c r="E31" s="189"/>
      <c r="F31" s="43"/>
      <c r="G31" s="189"/>
      <c r="H31" s="189"/>
      <c r="I31" s="189"/>
      <c r="J31" s="189"/>
      <c r="K31" s="190"/>
      <c r="L31" s="190"/>
      <c r="M31" s="190"/>
      <c r="N31" s="190"/>
      <c r="O31" s="190"/>
      <c r="P31" s="190"/>
      <c r="Q31" s="190"/>
      <c r="R31" s="190"/>
      <c r="S31" s="212"/>
      <c r="T31" s="212"/>
      <c r="U31" s="211"/>
      <c r="V31" s="211"/>
      <c r="W31" s="211"/>
      <c r="X31" s="211"/>
      <c r="Y31" s="211"/>
      <c r="Z31" s="19" t="s">
        <v>45</v>
      </c>
      <c r="AA31" s="20" t="s">
        <v>55</v>
      </c>
      <c r="AB31" s="21">
        <v>60</v>
      </c>
      <c r="AC31" s="21">
        <v>2500000</v>
      </c>
      <c r="AD31" s="33"/>
      <c r="AE31" s="20">
        <v>100</v>
      </c>
      <c r="AF31" s="21">
        <f t="shared" si="3"/>
        <v>150000000</v>
      </c>
      <c r="AG31" s="195"/>
      <c r="AH31" s="194"/>
      <c r="AI31" s="23">
        <f>AB31*20</f>
        <v>1200</v>
      </c>
      <c r="AK31" s="210"/>
    </row>
    <row r="32" spans="1:37" s="23" customFormat="1" ht="29.25" customHeight="1">
      <c r="A32" s="191"/>
      <c r="B32" s="191"/>
      <c r="C32" s="189"/>
      <c r="D32" s="193"/>
      <c r="E32" s="189"/>
      <c r="F32" s="43"/>
      <c r="G32" s="189"/>
      <c r="H32" s="189"/>
      <c r="I32" s="189"/>
      <c r="J32" s="189"/>
      <c r="K32" s="190"/>
      <c r="L32" s="190"/>
      <c r="M32" s="190"/>
      <c r="N32" s="190"/>
      <c r="O32" s="190"/>
      <c r="P32" s="190"/>
      <c r="Q32" s="190"/>
      <c r="R32" s="190"/>
      <c r="S32" s="212"/>
      <c r="T32" s="212"/>
      <c r="U32" s="211"/>
      <c r="V32" s="211"/>
      <c r="W32" s="211"/>
      <c r="X32" s="211"/>
      <c r="Y32" s="211"/>
      <c r="Z32" s="19" t="s">
        <v>59</v>
      </c>
      <c r="AA32" s="20" t="s">
        <v>55</v>
      </c>
      <c r="AB32" s="21">
        <v>10</v>
      </c>
      <c r="AC32" s="21">
        <v>2500000</v>
      </c>
      <c r="AD32" s="33"/>
      <c r="AE32" s="20">
        <v>30</v>
      </c>
      <c r="AF32" s="21">
        <f t="shared" si="3"/>
        <v>7500000</v>
      </c>
      <c r="AG32" s="195"/>
      <c r="AH32" s="194"/>
      <c r="AK32" s="210"/>
    </row>
    <row r="33" spans="1:37" s="23" customFormat="1" ht="33.75" customHeight="1">
      <c r="A33" s="191"/>
      <c r="B33" s="191"/>
      <c r="C33" s="189"/>
      <c r="D33" s="193"/>
      <c r="E33" s="189"/>
      <c r="F33" s="43"/>
      <c r="G33" s="189"/>
      <c r="H33" s="189"/>
      <c r="I33" s="189"/>
      <c r="J33" s="189"/>
      <c r="K33" s="190"/>
      <c r="L33" s="190"/>
      <c r="M33" s="190"/>
      <c r="N33" s="190"/>
      <c r="O33" s="190"/>
      <c r="P33" s="190"/>
      <c r="Q33" s="190"/>
      <c r="R33" s="190"/>
      <c r="S33" s="212"/>
      <c r="T33" s="212"/>
      <c r="U33" s="211"/>
      <c r="V33" s="211"/>
      <c r="W33" s="211"/>
      <c r="X33" s="211"/>
      <c r="Y33" s="211"/>
      <c r="Z33" s="19" t="s">
        <v>56</v>
      </c>
      <c r="AA33" s="20" t="s">
        <v>55</v>
      </c>
      <c r="AB33" s="21">
        <v>15</v>
      </c>
      <c r="AC33" s="21">
        <v>4500000</v>
      </c>
      <c r="AD33" s="33"/>
      <c r="AE33" s="20">
        <v>30</v>
      </c>
      <c r="AF33" s="21">
        <f t="shared" si="3"/>
        <v>20250000</v>
      </c>
      <c r="AG33" s="195"/>
      <c r="AH33" s="194"/>
      <c r="AK33" s="210"/>
    </row>
    <row r="34" spans="1:37" s="23" customFormat="1" ht="20.25" customHeight="1">
      <c r="A34" s="191"/>
      <c r="B34" s="191"/>
      <c r="C34" s="189"/>
      <c r="D34" s="193"/>
      <c r="E34" s="189"/>
      <c r="F34" s="43"/>
      <c r="G34" s="189"/>
      <c r="H34" s="189"/>
      <c r="I34" s="189"/>
      <c r="J34" s="189"/>
      <c r="K34" s="190"/>
      <c r="L34" s="190"/>
      <c r="M34" s="190"/>
      <c r="N34" s="190"/>
      <c r="O34" s="190"/>
      <c r="P34" s="190"/>
      <c r="Q34" s="190"/>
      <c r="R34" s="190"/>
      <c r="S34" s="212"/>
      <c r="T34" s="212"/>
      <c r="U34" s="211"/>
      <c r="V34" s="211"/>
      <c r="W34" s="211"/>
      <c r="X34" s="211"/>
      <c r="Y34" s="211"/>
      <c r="Z34" s="19" t="s">
        <v>35</v>
      </c>
      <c r="AA34" s="36" t="s">
        <v>36</v>
      </c>
      <c r="AB34" s="21">
        <v>2</v>
      </c>
      <c r="AC34" s="21">
        <v>2400000</v>
      </c>
      <c r="AD34" s="33"/>
      <c r="AE34" s="20">
        <v>0</v>
      </c>
      <c r="AF34" s="21">
        <f t="shared" si="3"/>
        <v>0</v>
      </c>
      <c r="AG34" s="195"/>
      <c r="AH34" s="194"/>
      <c r="AK34" s="210"/>
    </row>
    <row r="35" spans="1:37" s="23" customFormat="1" ht="18" customHeight="1">
      <c r="A35" s="191"/>
      <c r="B35" s="191"/>
      <c r="C35" s="189"/>
      <c r="D35" s="193"/>
      <c r="E35" s="189"/>
      <c r="F35" s="43"/>
      <c r="G35" s="189"/>
      <c r="H35" s="189"/>
      <c r="I35" s="189"/>
      <c r="J35" s="189"/>
      <c r="K35" s="190"/>
      <c r="L35" s="190"/>
      <c r="M35" s="190"/>
      <c r="N35" s="190"/>
      <c r="O35" s="190"/>
      <c r="P35" s="190"/>
      <c r="Q35" s="190"/>
      <c r="R35" s="190"/>
      <c r="S35" s="212"/>
      <c r="T35" s="212"/>
      <c r="U35" s="211"/>
      <c r="V35" s="211"/>
      <c r="W35" s="211"/>
      <c r="X35" s="211"/>
      <c r="Y35" s="211"/>
      <c r="Z35" s="19" t="s">
        <v>70</v>
      </c>
      <c r="AA35" s="20" t="s">
        <v>147</v>
      </c>
      <c r="AB35" s="21">
        <v>930</v>
      </c>
      <c r="AC35" s="21">
        <v>20000</v>
      </c>
      <c r="AD35" s="33"/>
      <c r="AE35" s="20">
        <v>0</v>
      </c>
      <c r="AF35" s="21">
        <f t="shared" si="3"/>
        <v>0</v>
      </c>
      <c r="AG35" s="195"/>
      <c r="AH35" s="194"/>
      <c r="AJ35" s="19" t="s">
        <v>71</v>
      </c>
      <c r="AK35" s="210"/>
    </row>
    <row r="36" spans="1:37" s="23" customFormat="1" ht="25.5" customHeight="1">
      <c r="A36" s="191">
        <v>460</v>
      </c>
      <c r="B36" s="191"/>
      <c r="C36" s="189"/>
      <c r="D36" s="193"/>
      <c r="E36" s="189"/>
      <c r="F36" s="43"/>
      <c r="G36" s="189">
        <v>3</v>
      </c>
      <c r="H36" s="189">
        <v>248</v>
      </c>
      <c r="I36" s="189">
        <v>246.6</v>
      </c>
      <c r="J36" s="189" t="s">
        <v>2</v>
      </c>
      <c r="K36" s="190">
        <v>252</v>
      </c>
      <c r="L36" s="190"/>
      <c r="M36" s="190"/>
      <c r="N36" s="196">
        <f>I36-K36</f>
        <v>-5.4000000000000057</v>
      </c>
      <c r="O36" s="190"/>
      <c r="P36" s="190"/>
      <c r="Q36" s="190"/>
      <c r="R36" s="190"/>
      <c r="S36" s="212"/>
      <c r="T36" s="212"/>
      <c r="U36" s="211"/>
      <c r="V36" s="211"/>
      <c r="W36" s="211"/>
      <c r="X36" s="211"/>
      <c r="Y36" s="211"/>
      <c r="Z36" s="19" t="s">
        <v>44</v>
      </c>
      <c r="AA36" s="20" t="s">
        <v>55</v>
      </c>
      <c r="AB36" s="21">
        <v>5</v>
      </c>
      <c r="AC36" s="21">
        <v>4500000</v>
      </c>
      <c r="AD36" s="33"/>
      <c r="AE36" s="20">
        <v>100</v>
      </c>
      <c r="AF36" s="21">
        <f t="shared" si="1"/>
        <v>22500000</v>
      </c>
      <c r="AG36" s="195">
        <f>AF36+AF37</f>
        <v>41750000</v>
      </c>
      <c r="AH36" s="194"/>
      <c r="AI36" s="23">
        <f>AB36*25</f>
        <v>125</v>
      </c>
      <c r="AK36" s="210"/>
    </row>
    <row r="37" spans="1:37" s="23" customFormat="1" ht="25.5" customHeight="1">
      <c r="A37" s="191"/>
      <c r="B37" s="191"/>
      <c r="C37" s="189"/>
      <c r="D37" s="193"/>
      <c r="E37" s="189"/>
      <c r="F37" s="43"/>
      <c r="G37" s="189"/>
      <c r="H37" s="189"/>
      <c r="I37" s="189"/>
      <c r="J37" s="189"/>
      <c r="K37" s="190"/>
      <c r="L37" s="190"/>
      <c r="M37" s="190"/>
      <c r="N37" s="191"/>
      <c r="O37" s="190"/>
      <c r="P37" s="190"/>
      <c r="Q37" s="190"/>
      <c r="R37" s="190"/>
      <c r="S37" s="212"/>
      <c r="T37" s="212"/>
      <c r="U37" s="211"/>
      <c r="V37" s="211"/>
      <c r="W37" s="211"/>
      <c r="X37" s="211"/>
      <c r="Y37" s="211"/>
      <c r="Z37" s="19" t="s">
        <v>62</v>
      </c>
      <c r="AA37" s="20" t="s">
        <v>55</v>
      </c>
      <c r="AB37" s="21">
        <v>5</v>
      </c>
      <c r="AC37" s="21">
        <v>3850000</v>
      </c>
      <c r="AD37" s="33"/>
      <c r="AE37" s="20">
        <v>100</v>
      </c>
      <c r="AF37" s="21">
        <f t="shared" si="1"/>
        <v>19250000</v>
      </c>
      <c r="AG37" s="195"/>
      <c r="AH37" s="194"/>
      <c r="AI37" s="23">
        <f>AB37*25</f>
        <v>125</v>
      </c>
      <c r="AK37" s="210"/>
    </row>
    <row r="38" spans="1:37" s="45" customFormat="1" ht="28.5" customHeight="1">
      <c r="A38" s="27"/>
      <c r="B38" s="201">
        <v>7</v>
      </c>
      <c r="C38" s="213" t="s">
        <v>148</v>
      </c>
      <c r="D38" s="213" t="s">
        <v>149</v>
      </c>
      <c r="E38" s="202"/>
      <c r="F38" s="202">
        <v>1</v>
      </c>
      <c r="G38" s="201">
        <v>62</v>
      </c>
      <c r="H38" s="201">
        <v>74</v>
      </c>
      <c r="I38" s="201">
        <v>899.9</v>
      </c>
      <c r="J38" s="201" t="s">
        <v>2</v>
      </c>
      <c r="K38" s="201">
        <v>900</v>
      </c>
      <c r="L38" s="201">
        <v>-0.10000000000002274</v>
      </c>
      <c r="M38" s="201"/>
      <c r="N38" s="201">
        <f>I38-K38</f>
        <v>-0.10000000000002274</v>
      </c>
      <c r="O38" s="215">
        <f>K38+K40</f>
        <v>1332</v>
      </c>
      <c r="P38" s="215">
        <v>1720.8</v>
      </c>
      <c r="Q38" s="215"/>
      <c r="R38" s="215">
        <f>O38/P38*100</f>
        <v>77.405857740585773</v>
      </c>
      <c r="S38" s="214">
        <v>12</v>
      </c>
      <c r="T38" s="214">
        <v>5</v>
      </c>
      <c r="U38" s="206">
        <v>80000</v>
      </c>
      <c r="V38" s="206">
        <f>U38*O38</f>
        <v>106560000</v>
      </c>
      <c r="W38" s="206">
        <f>V38*3</f>
        <v>319680000</v>
      </c>
      <c r="X38" s="206">
        <f>S38*T38*X6</f>
        <v>30600000</v>
      </c>
      <c r="Y38" s="206">
        <f>SUM(V38:X40)</f>
        <v>456840000</v>
      </c>
      <c r="Z38" s="26" t="s">
        <v>44</v>
      </c>
      <c r="AA38" s="27" t="s">
        <v>55</v>
      </c>
      <c r="AB38" s="28">
        <v>9</v>
      </c>
      <c r="AC38" s="28">
        <v>4500000</v>
      </c>
      <c r="AD38" s="44"/>
      <c r="AE38" s="27">
        <v>100</v>
      </c>
      <c r="AF38" s="28">
        <f t="shared" si="1"/>
        <v>40500000</v>
      </c>
      <c r="AG38" s="206">
        <f>AF38+AF39</f>
        <v>129050000</v>
      </c>
      <c r="AH38" s="205">
        <f>Y38+AG38+AG40</f>
        <v>634886000</v>
      </c>
      <c r="AI38" s="45">
        <f>AB38*25</f>
        <v>225</v>
      </c>
    </row>
    <row r="39" spans="1:37" s="45" customFormat="1" ht="25.5" customHeight="1">
      <c r="A39" s="27"/>
      <c r="B39" s="201"/>
      <c r="C39" s="213"/>
      <c r="D39" s="213"/>
      <c r="E39" s="202"/>
      <c r="F39" s="202"/>
      <c r="G39" s="201"/>
      <c r="H39" s="201"/>
      <c r="I39" s="201"/>
      <c r="J39" s="201"/>
      <c r="K39" s="201"/>
      <c r="L39" s="201"/>
      <c r="M39" s="201"/>
      <c r="N39" s="201"/>
      <c r="O39" s="215"/>
      <c r="P39" s="215"/>
      <c r="Q39" s="215"/>
      <c r="R39" s="215"/>
      <c r="S39" s="214"/>
      <c r="T39" s="214"/>
      <c r="U39" s="206"/>
      <c r="V39" s="206"/>
      <c r="W39" s="206"/>
      <c r="X39" s="206"/>
      <c r="Y39" s="206"/>
      <c r="Z39" s="26" t="s">
        <v>62</v>
      </c>
      <c r="AA39" s="27" t="s">
        <v>55</v>
      </c>
      <c r="AB39" s="28">
        <v>23</v>
      </c>
      <c r="AC39" s="28">
        <v>3850000</v>
      </c>
      <c r="AD39" s="44"/>
      <c r="AE39" s="27">
        <v>100</v>
      </c>
      <c r="AF39" s="28">
        <f t="shared" si="1"/>
        <v>88550000</v>
      </c>
      <c r="AG39" s="201"/>
      <c r="AH39" s="205"/>
      <c r="AI39" s="45">
        <f>AB39*25</f>
        <v>575</v>
      </c>
    </row>
    <row r="40" spans="1:37" s="29" customFormat="1" ht="20.25" customHeight="1">
      <c r="A40" s="27"/>
      <c r="B40" s="201"/>
      <c r="C40" s="213"/>
      <c r="D40" s="26"/>
      <c r="E40" s="30"/>
      <c r="F40" s="24"/>
      <c r="G40" s="202">
        <v>67</v>
      </c>
      <c r="H40" s="202">
        <v>99</v>
      </c>
      <c r="I40" s="202">
        <v>432</v>
      </c>
      <c r="J40" s="202" t="s">
        <v>2</v>
      </c>
      <c r="K40" s="202">
        <v>432</v>
      </c>
      <c r="L40" s="202"/>
      <c r="M40" s="202"/>
      <c r="N40" s="202"/>
      <c r="O40" s="215"/>
      <c r="P40" s="215"/>
      <c r="Q40" s="215"/>
      <c r="R40" s="215"/>
      <c r="S40" s="214"/>
      <c r="T40" s="214"/>
      <c r="U40" s="206"/>
      <c r="V40" s="206"/>
      <c r="W40" s="206"/>
      <c r="X40" s="206"/>
      <c r="Y40" s="206"/>
      <c r="Z40" s="26" t="s">
        <v>37</v>
      </c>
      <c r="AA40" s="27" t="s">
        <v>147</v>
      </c>
      <c r="AB40" s="28">
        <v>259</v>
      </c>
      <c r="AC40" s="28">
        <v>180000</v>
      </c>
      <c r="AD40" s="44"/>
      <c r="AE40" s="27">
        <v>100</v>
      </c>
      <c r="AF40" s="28">
        <f t="shared" si="1"/>
        <v>46620000</v>
      </c>
      <c r="AG40" s="206">
        <f>SUM(AF40:AF44)</f>
        <v>48996000</v>
      </c>
      <c r="AH40" s="205"/>
      <c r="AJ40" s="29" t="s">
        <v>48</v>
      </c>
    </row>
    <row r="41" spans="1:37" s="29" customFormat="1" ht="20.25" customHeight="1">
      <c r="A41" s="27"/>
      <c r="B41" s="201"/>
      <c r="C41" s="213"/>
      <c r="D41" s="26"/>
      <c r="E41" s="30"/>
      <c r="F41" s="24"/>
      <c r="G41" s="202"/>
      <c r="H41" s="202"/>
      <c r="I41" s="202"/>
      <c r="J41" s="202"/>
      <c r="K41" s="202"/>
      <c r="L41" s="202"/>
      <c r="M41" s="202"/>
      <c r="N41" s="202"/>
      <c r="O41" s="215"/>
      <c r="P41" s="215"/>
      <c r="Q41" s="215"/>
      <c r="R41" s="215"/>
      <c r="S41" s="214"/>
      <c r="T41" s="214"/>
      <c r="U41" s="206"/>
      <c r="V41" s="206"/>
      <c r="W41" s="206"/>
      <c r="X41" s="206"/>
      <c r="Y41" s="206"/>
      <c r="Z41" s="26" t="s">
        <v>140</v>
      </c>
      <c r="AA41" s="27" t="s">
        <v>55</v>
      </c>
      <c r="AB41" s="28">
        <v>43</v>
      </c>
      <c r="AC41" s="28">
        <v>60000</v>
      </c>
      <c r="AD41" s="44"/>
      <c r="AE41" s="27">
        <v>80</v>
      </c>
      <c r="AF41" s="28">
        <f t="shared" si="1"/>
        <v>2064000</v>
      </c>
      <c r="AG41" s="206"/>
      <c r="AH41" s="205"/>
    </row>
    <row r="42" spans="1:37" s="29" customFormat="1" ht="28.5" customHeight="1">
      <c r="A42" s="27"/>
      <c r="B42" s="201"/>
      <c r="C42" s="213"/>
      <c r="D42" s="26"/>
      <c r="E42" s="30"/>
      <c r="F42" s="24"/>
      <c r="G42" s="202"/>
      <c r="H42" s="202"/>
      <c r="I42" s="202"/>
      <c r="J42" s="202"/>
      <c r="K42" s="202"/>
      <c r="L42" s="202"/>
      <c r="M42" s="202"/>
      <c r="N42" s="202"/>
      <c r="O42" s="215"/>
      <c r="P42" s="215"/>
      <c r="Q42" s="215"/>
      <c r="R42" s="215"/>
      <c r="S42" s="214"/>
      <c r="T42" s="214"/>
      <c r="U42" s="206"/>
      <c r="V42" s="206"/>
      <c r="W42" s="206"/>
      <c r="X42" s="206"/>
      <c r="Y42" s="206"/>
      <c r="Z42" s="26" t="s">
        <v>150</v>
      </c>
      <c r="AA42" s="27" t="s">
        <v>55</v>
      </c>
      <c r="AB42" s="28">
        <v>13</v>
      </c>
      <c r="AC42" s="28">
        <v>60000</v>
      </c>
      <c r="AD42" s="44"/>
      <c r="AE42" s="27">
        <v>40</v>
      </c>
      <c r="AF42" s="28">
        <f t="shared" si="1"/>
        <v>312000</v>
      </c>
      <c r="AG42" s="206"/>
      <c r="AH42" s="205"/>
    </row>
    <row r="43" spans="1:37" s="29" customFormat="1" ht="28.5" customHeight="1">
      <c r="A43" s="27"/>
      <c r="B43" s="201"/>
      <c r="C43" s="213"/>
      <c r="D43" s="26"/>
      <c r="E43" s="30"/>
      <c r="F43" s="24"/>
      <c r="G43" s="202"/>
      <c r="H43" s="202"/>
      <c r="I43" s="202"/>
      <c r="J43" s="202"/>
      <c r="K43" s="202"/>
      <c r="L43" s="202"/>
      <c r="M43" s="202"/>
      <c r="N43" s="202"/>
      <c r="O43" s="215"/>
      <c r="P43" s="215"/>
      <c r="Q43" s="215"/>
      <c r="R43" s="215"/>
      <c r="S43" s="214"/>
      <c r="T43" s="214"/>
      <c r="U43" s="206"/>
      <c r="V43" s="206"/>
      <c r="W43" s="206"/>
      <c r="X43" s="206"/>
      <c r="Y43" s="206"/>
      <c r="Z43" s="26" t="s">
        <v>151</v>
      </c>
      <c r="AA43" s="27" t="s">
        <v>55</v>
      </c>
      <c r="AB43" s="28">
        <v>46</v>
      </c>
      <c r="AC43" s="28">
        <v>60000</v>
      </c>
      <c r="AD43" s="44"/>
      <c r="AE43" s="27">
        <v>0</v>
      </c>
      <c r="AF43" s="28">
        <f t="shared" si="1"/>
        <v>0</v>
      </c>
      <c r="AG43" s="206"/>
      <c r="AH43" s="205"/>
    </row>
    <row r="44" spans="1:37" s="29" customFormat="1" ht="28.5" customHeight="1">
      <c r="A44" s="27"/>
      <c r="B44" s="201"/>
      <c r="C44" s="213"/>
      <c r="D44" s="26"/>
      <c r="E44" s="30"/>
      <c r="F44" s="24"/>
      <c r="G44" s="202"/>
      <c r="H44" s="202"/>
      <c r="I44" s="202"/>
      <c r="J44" s="202"/>
      <c r="K44" s="202"/>
      <c r="L44" s="202"/>
      <c r="M44" s="202"/>
      <c r="N44" s="202"/>
      <c r="O44" s="215"/>
      <c r="P44" s="215"/>
      <c r="Q44" s="215"/>
      <c r="R44" s="215"/>
      <c r="S44" s="214"/>
      <c r="T44" s="214"/>
      <c r="U44" s="206"/>
      <c r="V44" s="206"/>
      <c r="W44" s="206"/>
      <c r="X44" s="206"/>
      <c r="Y44" s="206"/>
      <c r="Z44" s="26" t="s">
        <v>152</v>
      </c>
      <c r="AA44" s="27" t="s">
        <v>55</v>
      </c>
      <c r="AB44" s="28">
        <v>25</v>
      </c>
      <c r="AC44" s="28"/>
      <c r="AD44" s="44"/>
      <c r="AE44" s="27"/>
      <c r="AF44" s="28">
        <f t="shared" si="1"/>
        <v>0</v>
      </c>
      <c r="AG44" s="206"/>
      <c r="AH44" s="205"/>
    </row>
    <row r="45" spans="1:37" s="48" customFormat="1" ht="27.75" customHeight="1">
      <c r="A45" s="20"/>
      <c r="B45" s="191">
        <v>8</v>
      </c>
      <c r="C45" s="189" t="s">
        <v>72</v>
      </c>
      <c r="D45" s="193" t="s">
        <v>153</v>
      </c>
      <c r="E45" s="189"/>
      <c r="F45" s="46"/>
      <c r="G45" s="189">
        <v>62</v>
      </c>
      <c r="H45" s="189">
        <v>89</v>
      </c>
      <c r="I45" s="189">
        <v>1332</v>
      </c>
      <c r="J45" s="189" t="s">
        <v>2</v>
      </c>
      <c r="K45" s="189">
        <v>1332</v>
      </c>
      <c r="L45" s="47">
        <v>0</v>
      </c>
      <c r="M45" s="191"/>
      <c r="N45" s="221"/>
      <c r="O45" s="196">
        <f>K45+K48+K51</f>
        <v>1800</v>
      </c>
      <c r="P45" s="196">
        <v>2368</v>
      </c>
      <c r="Q45" s="196"/>
      <c r="R45" s="196">
        <f>O45/P45*100</f>
        <v>76.013513513513516</v>
      </c>
      <c r="S45" s="200">
        <v>12</v>
      </c>
      <c r="T45" s="200">
        <v>11</v>
      </c>
      <c r="U45" s="195">
        <v>80000</v>
      </c>
      <c r="V45" s="195">
        <f>U45*O45</f>
        <v>144000000</v>
      </c>
      <c r="W45" s="195">
        <f>V45*3</f>
        <v>432000000</v>
      </c>
      <c r="X45" s="195">
        <f>S45*T45*X6</f>
        <v>67320000</v>
      </c>
      <c r="Y45" s="195">
        <f>SUM(V45:X54)</f>
        <v>643320000</v>
      </c>
      <c r="Z45" s="19" t="s">
        <v>62</v>
      </c>
      <c r="AA45" s="20" t="s">
        <v>55</v>
      </c>
      <c r="AB45" s="21">
        <v>52</v>
      </c>
      <c r="AC45" s="21">
        <v>3850000</v>
      </c>
      <c r="AD45" s="33"/>
      <c r="AE45" s="20">
        <v>100</v>
      </c>
      <c r="AF45" s="21">
        <f t="shared" si="1"/>
        <v>200200000</v>
      </c>
      <c r="AG45" s="195">
        <f>SUM(AF45:AF47)</f>
        <v>212700000</v>
      </c>
      <c r="AH45" s="194">
        <f>Y45+AG45+AG48+AG51</f>
        <v>940645000</v>
      </c>
      <c r="AI45" s="48">
        <f>AB45*25</f>
        <v>1300</v>
      </c>
      <c r="AJ45" s="48" t="s">
        <v>63</v>
      </c>
      <c r="AK45" s="220" t="s">
        <v>73</v>
      </c>
    </row>
    <row r="46" spans="1:37" s="48" customFormat="1" ht="28.5" customHeight="1">
      <c r="A46" s="20"/>
      <c r="B46" s="191"/>
      <c r="C46" s="189"/>
      <c r="D46" s="193"/>
      <c r="E46" s="189"/>
      <c r="F46" s="46"/>
      <c r="G46" s="189"/>
      <c r="H46" s="189"/>
      <c r="I46" s="189"/>
      <c r="J46" s="189"/>
      <c r="K46" s="189"/>
      <c r="L46" s="47"/>
      <c r="M46" s="191"/>
      <c r="N46" s="221"/>
      <c r="O46" s="196"/>
      <c r="P46" s="196"/>
      <c r="Q46" s="196"/>
      <c r="R46" s="196"/>
      <c r="S46" s="200"/>
      <c r="T46" s="200"/>
      <c r="U46" s="195"/>
      <c r="V46" s="195"/>
      <c r="W46" s="195"/>
      <c r="X46" s="195"/>
      <c r="Y46" s="195"/>
      <c r="Z46" s="19" t="s">
        <v>45</v>
      </c>
      <c r="AA46" s="20" t="s">
        <v>55</v>
      </c>
      <c r="AB46" s="21">
        <v>10</v>
      </c>
      <c r="AC46" s="21">
        <v>2500000</v>
      </c>
      <c r="AD46" s="33"/>
      <c r="AE46" s="20">
        <v>50</v>
      </c>
      <c r="AF46" s="21">
        <f t="shared" si="1"/>
        <v>12500000</v>
      </c>
      <c r="AG46" s="191"/>
      <c r="AH46" s="194"/>
      <c r="AI46" s="48">
        <f>AB46*20</f>
        <v>200</v>
      </c>
      <c r="AK46" s="220"/>
    </row>
    <row r="47" spans="1:37" s="48" customFormat="1" ht="28.5" customHeight="1">
      <c r="A47" s="20"/>
      <c r="B47" s="191"/>
      <c r="C47" s="189"/>
      <c r="D47" s="193"/>
      <c r="E47" s="189"/>
      <c r="F47" s="46"/>
      <c r="G47" s="189"/>
      <c r="H47" s="189"/>
      <c r="I47" s="189"/>
      <c r="J47" s="189"/>
      <c r="K47" s="189"/>
      <c r="L47" s="33"/>
      <c r="M47" s="191"/>
      <c r="N47" s="221"/>
      <c r="O47" s="196"/>
      <c r="P47" s="196"/>
      <c r="Q47" s="196"/>
      <c r="R47" s="196"/>
      <c r="S47" s="200"/>
      <c r="T47" s="200"/>
      <c r="U47" s="195"/>
      <c r="V47" s="195"/>
      <c r="W47" s="195"/>
      <c r="X47" s="195"/>
      <c r="Y47" s="195"/>
      <c r="Z47" s="49" t="s">
        <v>142</v>
      </c>
      <c r="AA47" s="20" t="s">
        <v>55</v>
      </c>
      <c r="AB47" s="21">
        <v>100</v>
      </c>
      <c r="AC47" s="21">
        <v>60000</v>
      </c>
      <c r="AD47" s="33"/>
      <c r="AE47" s="20">
        <v>0</v>
      </c>
      <c r="AF47" s="21">
        <f t="shared" si="1"/>
        <v>0</v>
      </c>
      <c r="AG47" s="191"/>
      <c r="AH47" s="194"/>
      <c r="AJ47" s="48" t="s">
        <v>50</v>
      </c>
      <c r="AK47" s="220"/>
    </row>
    <row r="48" spans="1:37" s="48" customFormat="1" ht="28.5" customHeight="1">
      <c r="A48" s="20"/>
      <c r="B48" s="191"/>
      <c r="C48" s="189"/>
      <c r="D48" s="193"/>
      <c r="E48" s="189"/>
      <c r="F48" s="46"/>
      <c r="G48" s="189">
        <v>64</v>
      </c>
      <c r="H48" s="189">
        <v>281</v>
      </c>
      <c r="I48" s="189">
        <v>152.30000000000001</v>
      </c>
      <c r="J48" s="189" t="s">
        <v>2</v>
      </c>
      <c r="K48" s="189">
        <v>144</v>
      </c>
      <c r="L48" s="47">
        <v>8.3000000000000114</v>
      </c>
      <c r="M48" s="191"/>
      <c r="N48" s="199">
        <f>I48-K48</f>
        <v>8.3000000000000114</v>
      </c>
      <c r="O48" s="196"/>
      <c r="P48" s="196"/>
      <c r="Q48" s="196"/>
      <c r="R48" s="196"/>
      <c r="S48" s="200"/>
      <c r="T48" s="200"/>
      <c r="U48" s="195"/>
      <c r="V48" s="195"/>
      <c r="W48" s="195"/>
      <c r="X48" s="195"/>
      <c r="Y48" s="195"/>
      <c r="Z48" s="19" t="s">
        <v>62</v>
      </c>
      <c r="AA48" s="20" t="s">
        <v>55</v>
      </c>
      <c r="AB48" s="21">
        <v>6</v>
      </c>
      <c r="AC48" s="21">
        <v>3850000</v>
      </c>
      <c r="AD48" s="33"/>
      <c r="AE48" s="20">
        <v>100</v>
      </c>
      <c r="AF48" s="21">
        <f t="shared" si="1"/>
        <v>23100000</v>
      </c>
      <c r="AG48" s="195">
        <f>SUM(AF48:AF50)</f>
        <v>26950000</v>
      </c>
      <c r="AH48" s="194"/>
      <c r="AI48" s="48">
        <f>AB48*25</f>
        <v>150</v>
      </c>
      <c r="AK48" s="220"/>
    </row>
    <row r="49" spans="1:37" s="48" customFormat="1" ht="28.5" customHeight="1">
      <c r="A49" s="20"/>
      <c r="B49" s="191"/>
      <c r="C49" s="189"/>
      <c r="D49" s="193"/>
      <c r="E49" s="189"/>
      <c r="F49" s="46"/>
      <c r="G49" s="189"/>
      <c r="H49" s="189"/>
      <c r="I49" s="189"/>
      <c r="J49" s="189"/>
      <c r="K49" s="189"/>
      <c r="L49" s="47"/>
      <c r="M49" s="191"/>
      <c r="N49" s="199"/>
      <c r="O49" s="196"/>
      <c r="P49" s="196"/>
      <c r="Q49" s="196"/>
      <c r="R49" s="196"/>
      <c r="S49" s="200"/>
      <c r="T49" s="200"/>
      <c r="U49" s="195"/>
      <c r="V49" s="195"/>
      <c r="W49" s="195"/>
      <c r="X49" s="195"/>
      <c r="Y49" s="195"/>
      <c r="Z49" s="19" t="s">
        <v>74</v>
      </c>
      <c r="AA49" s="20" t="s">
        <v>55</v>
      </c>
      <c r="AB49" s="21">
        <v>2</v>
      </c>
      <c r="AC49" s="21">
        <v>3850000</v>
      </c>
      <c r="AD49" s="33"/>
      <c r="AE49" s="20">
        <v>50</v>
      </c>
      <c r="AF49" s="21">
        <f t="shared" si="1"/>
        <v>3850000</v>
      </c>
      <c r="AG49" s="191"/>
      <c r="AH49" s="194"/>
      <c r="AK49" s="220"/>
    </row>
    <row r="50" spans="1:37" s="48" customFormat="1" ht="27.75" customHeight="1">
      <c r="A50" s="20"/>
      <c r="B50" s="191"/>
      <c r="C50" s="189"/>
      <c r="D50" s="193"/>
      <c r="E50" s="189"/>
      <c r="F50" s="46"/>
      <c r="G50" s="189"/>
      <c r="H50" s="189"/>
      <c r="I50" s="189"/>
      <c r="J50" s="189"/>
      <c r="K50" s="189"/>
      <c r="L50" s="33"/>
      <c r="M50" s="191"/>
      <c r="N50" s="199"/>
      <c r="O50" s="196"/>
      <c r="P50" s="196"/>
      <c r="Q50" s="196"/>
      <c r="R50" s="196"/>
      <c r="S50" s="200"/>
      <c r="T50" s="200"/>
      <c r="U50" s="195"/>
      <c r="V50" s="195"/>
      <c r="W50" s="195"/>
      <c r="X50" s="195"/>
      <c r="Y50" s="195"/>
      <c r="Z50" s="19" t="s">
        <v>75</v>
      </c>
      <c r="AA50" s="20" t="s">
        <v>55</v>
      </c>
      <c r="AB50" s="21">
        <v>1</v>
      </c>
      <c r="AC50" s="21">
        <v>3750000</v>
      </c>
      <c r="AD50" s="33"/>
      <c r="AE50" s="20">
        <v>0</v>
      </c>
      <c r="AF50" s="21">
        <f t="shared" si="1"/>
        <v>0</v>
      </c>
      <c r="AG50" s="191"/>
      <c r="AH50" s="194"/>
      <c r="AK50" s="220"/>
    </row>
    <row r="51" spans="1:37" s="48" customFormat="1" ht="27.75" customHeight="1">
      <c r="A51" s="20"/>
      <c r="B51" s="191"/>
      <c r="C51" s="189"/>
      <c r="D51" s="19"/>
      <c r="E51" s="36"/>
      <c r="F51" s="46"/>
      <c r="G51" s="189">
        <v>67</v>
      </c>
      <c r="H51" s="189">
        <v>112</v>
      </c>
      <c r="I51" s="189">
        <v>324</v>
      </c>
      <c r="J51" s="189" t="s">
        <v>2</v>
      </c>
      <c r="K51" s="189">
        <v>324</v>
      </c>
      <c r="L51" s="189"/>
      <c r="M51" s="189"/>
      <c r="N51" s="189"/>
      <c r="O51" s="196"/>
      <c r="P51" s="196"/>
      <c r="Q51" s="196"/>
      <c r="R51" s="196"/>
      <c r="S51" s="200"/>
      <c r="T51" s="200"/>
      <c r="U51" s="195"/>
      <c r="V51" s="195"/>
      <c r="W51" s="195"/>
      <c r="X51" s="195"/>
      <c r="Y51" s="195"/>
      <c r="Z51" s="19" t="s">
        <v>44</v>
      </c>
      <c r="AA51" s="20" t="s">
        <v>55</v>
      </c>
      <c r="AB51" s="20">
        <v>6</v>
      </c>
      <c r="AC51" s="21">
        <v>4500000</v>
      </c>
      <c r="AD51" s="21"/>
      <c r="AE51" s="20">
        <v>100</v>
      </c>
      <c r="AF51" s="21">
        <f t="shared" si="1"/>
        <v>27000000</v>
      </c>
      <c r="AG51" s="195">
        <f>SUM(AF51:AF55)</f>
        <v>57675000</v>
      </c>
      <c r="AH51" s="194"/>
      <c r="AI51" s="48">
        <f>AB51*25</f>
        <v>150</v>
      </c>
      <c r="AJ51" s="48" t="s">
        <v>76</v>
      </c>
      <c r="AK51" s="220"/>
    </row>
    <row r="52" spans="1:37" s="48" customFormat="1" ht="26.25" customHeight="1">
      <c r="A52" s="20"/>
      <c r="B52" s="191"/>
      <c r="C52" s="189"/>
      <c r="D52" s="19"/>
      <c r="E52" s="36"/>
      <c r="F52" s="46"/>
      <c r="G52" s="189"/>
      <c r="H52" s="189"/>
      <c r="I52" s="189"/>
      <c r="J52" s="189"/>
      <c r="K52" s="189"/>
      <c r="L52" s="189"/>
      <c r="M52" s="189"/>
      <c r="N52" s="189"/>
      <c r="O52" s="196"/>
      <c r="P52" s="196"/>
      <c r="Q52" s="196"/>
      <c r="R52" s="196"/>
      <c r="S52" s="200"/>
      <c r="T52" s="200"/>
      <c r="U52" s="195"/>
      <c r="V52" s="195"/>
      <c r="W52" s="195"/>
      <c r="X52" s="195"/>
      <c r="Y52" s="195"/>
      <c r="Z52" s="19" t="s">
        <v>62</v>
      </c>
      <c r="AA52" s="20" t="s">
        <v>55</v>
      </c>
      <c r="AB52" s="20">
        <v>6</v>
      </c>
      <c r="AC52" s="21">
        <v>3850000</v>
      </c>
      <c r="AD52" s="21"/>
      <c r="AE52" s="20">
        <v>100</v>
      </c>
      <c r="AF52" s="21">
        <f t="shared" si="1"/>
        <v>23100000</v>
      </c>
      <c r="AG52" s="195"/>
      <c r="AH52" s="194"/>
      <c r="AI52" s="48">
        <f>AB52*25</f>
        <v>150</v>
      </c>
      <c r="AK52" s="220"/>
    </row>
    <row r="53" spans="1:37" s="48" customFormat="1" ht="37.5" customHeight="1">
      <c r="A53" s="20"/>
      <c r="B53" s="191"/>
      <c r="C53" s="189"/>
      <c r="D53" s="19"/>
      <c r="E53" s="36"/>
      <c r="F53" s="46"/>
      <c r="G53" s="189"/>
      <c r="H53" s="189"/>
      <c r="I53" s="189"/>
      <c r="J53" s="189"/>
      <c r="K53" s="189"/>
      <c r="L53" s="189"/>
      <c r="M53" s="189"/>
      <c r="N53" s="189"/>
      <c r="O53" s="196"/>
      <c r="P53" s="196"/>
      <c r="Q53" s="196"/>
      <c r="R53" s="196"/>
      <c r="S53" s="200"/>
      <c r="T53" s="200"/>
      <c r="U53" s="195"/>
      <c r="V53" s="195"/>
      <c r="W53" s="195"/>
      <c r="X53" s="195"/>
      <c r="Y53" s="195"/>
      <c r="Z53" s="49" t="s">
        <v>77</v>
      </c>
      <c r="AA53" s="20" t="s">
        <v>55</v>
      </c>
      <c r="AB53" s="20">
        <v>60</v>
      </c>
      <c r="AC53" s="21">
        <v>200000</v>
      </c>
      <c r="AD53" s="21"/>
      <c r="AE53" s="20">
        <v>50</v>
      </c>
      <c r="AF53" s="21">
        <f t="shared" si="1"/>
        <v>6000000</v>
      </c>
      <c r="AG53" s="195"/>
      <c r="AH53" s="194"/>
      <c r="AK53" s="220"/>
    </row>
    <row r="54" spans="1:37" s="48" customFormat="1" ht="34.5" customHeight="1">
      <c r="A54" s="20"/>
      <c r="B54" s="191"/>
      <c r="C54" s="189"/>
      <c r="D54" s="19"/>
      <c r="E54" s="36"/>
      <c r="F54" s="46"/>
      <c r="G54" s="189"/>
      <c r="H54" s="189"/>
      <c r="I54" s="189"/>
      <c r="J54" s="189"/>
      <c r="K54" s="189"/>
      <c r="L54" s="189"/>
      <c r="M54" s="189"/>
      <c r="N54" s="189"/>
      <c r="O54" s="196"/>
      <c r="P54" s="196"/>
      <c r="Q54" s="196"/>
      <c r="R54" s="196"/>
      <c r="S54" s="200"/>
      <c r="T54" s="200"/>
      <c r="U54" s="195"/>
      <c r="V54" s="195"/>
      <c r="W54" s="195"/>
      <c r="X54" s="195"/>
      <c r="Y54" s="195"/>
      <c r="Z54" s="49" t="s">
        <v>78</v>
      </c>
      <c r="AA54" s="20" t="s">
        <v>55</v>
      </c>
      <c r="AB54" s="20">
        <v>21</v>
      </c>
      <c r="AC54" s="21">
        <v>150000</v>
      </c>
      <c r="AD54" s="21"/>
      <c r="AE54" s="20">
        <v>50</v>
      </c>
      <c r="AF54" s="21">
        <f t="shared" si="1"/>
        <v>1575000</v>
      </c>
      <c r="AG54" s="195"/>
      <c r="AH54" s="194"/>
      <c r="AK54" s="220"/>
    </row>
    <row r="55" spans="1:37" s="23" customFormat="1" ht="34.5" customHeight="1">
      <c r="A55" s="20"/>
      <c r="B55" s="191"/>
      <c r="C55" s="189"/>
      <c r="D55" s="19"/>
      <c r="E55" s="36"/>
      <c r="F55" s="43"/>
      <c r="G55" s="189"/>
      <c r="H55" s="189"/>
      <c r="I55" s="189"/>
      <c r="J55" s="189"/>
      <c r="K55" s="189"/>
      <c r="L55" s="189"/>
      <c r="M55" s="189"/>
      <c r="N55" s="189"/>
      <c r="O55" s="196"/>
      <c r="P55" s="196"/>
      <c r="Q55" s="196"/>
      <c r="R55" s="196"/>
      <c r="S55" s="200"/>
      <c r="T55" s="200"/>
      <c r="U55" s="195"/>
      <c r="V55" s="195"/>
      <c r="W55" s="195"/>
      <c r="X55" s="195"/>
      <c r="Y55" s="195"/>
      <c r="Z55" s="49" t="s">
        <v>79</v>
      </c>
      <c r="AA55" s="20" t="s">
        <v>55</v>
      </c>
      <c r="AB55" s="21">
        <v>9</v>
      </c>
      <c r="AC55" s="21"/>
      <c r="AD55" s="33"/>
      <c r="AE55" s="20">
        <v>0</v>
      </c>
      <c r="AF55" s="21">
        <f t="shared" si="1"/>
        <v>0</v>
      </c>
      <c r="AG55" s="195"/>
      <c r="AH55" s="194"/>
      <c r="AK55" s="220"/>
    </row>
    <row r="56" spans="1:37" s="23" customFormat="1" ht="28.5" customHeight="1">
      <c r="A56" s="20"/>
      <c r="B56" s="216">
        <v>9</v>
      </c>
      <c r="C56" s="218" t="s">
        <v>80</v>
      </c>
      <c r="D56" s="19"/>
      <c r="E56" s="36"/>
      <c r="F56" s="43"/>
      <c r="G56" s="189">
        <v>67</v>
      </c>
      <c r="H56" s="189">
        <v>73</v>
      </c>
      <c r="I56" s="189">
        <v>288</v>
      </c>
      <c r="J56" s="189" t="s">
        <v>2</v>
      </c>
      <c r="K56" s="189">
        <v>288</v>
      </c>
      <c r="L56" s="189"/>
      <c r="M56" s="189"/>
      <c r="N56" s="189"/>
      <c r="O56" s="189">
        <v>288</v>
      </c>
      <c r="P56" s="189">
        <v>288</v>
      </c>
      <c r="Q56" s="189"/>
      <c r="R56" s="189">
        <v>100</v>
      </c>
      <c r="S56" s="189">
        <v>12</v>
      </c>
      <c r="T56" s="189">
        <v>1</v>
      </c>
      <c r="U56" s="211">
        <v>80000</v>
      </c>
      <c r="V56" s="211">
        <f>U56*O56</f>
        <v>23040000</v>
      </c>
      <c r="W56" s="211">
        <f>V56*3</f>
        <v>69120000</v>
      </c>
      <c r="X56" s="211">
        <f>S56*T56*510000</f>
        <v>6120000</v>
      </c>
      <c r="Y56" s="211">
        <f>SUM(V56:X58)</f>
        <v>98280000</v>
      </c>
      <c r="Z56" s="19" t="s">
        <v>81</v>
      </c>
      <c r="AA56" s="20" t="s">
        <v>55</v>
      </c>
      <c r="AB56" s="21">
        <v>6</v>
      </c>
      <c r="AC56" s="21">
        <v>3850000</v>
      </c>
      <c r="AD56" s="33"/>
      <c r="AE56" s="20">
        <v>100</v>
      </c>
      <c r="AF56" s="21">
        <f t="shared" si="1"/>
        <v>23100000</v>
      </c>
      <c r="AG56" s="195">
        <f>SUM(AF56:AF58)</f>
        <v>38550000</v>
      </c>
      <c r="AH56" s="222">
        <f>Y56+AG56</f>
        <v>136830000</v>
      </c>
      <c r="AI56" s="23">
        <f>AB56*25</f>
        <v>150</v>
      </c>
    </row>
    <row r="57" spans="1:37" s="23" customFormat="1" ht="36" customHeight="1">
      <c r="A57" s="20"/>
      <c r="B57" s="217"/>
      <c r="C57" s="219"/>
      <c r="D57" s="19"/>
      <c r="E57" s="36"/>
      <c r="F57" s="43"/>
      <c r="G57" s="189"/>
      <c r="H57" s="189"/>
      <c r="I57" s="189"/>
      <c r="J57" s="189"/>
      <c r="K57" s="189"/>
      <c r="L57" s="189"/>
      <c r="M57" s="189"/>
      <c r="N57" s="189"/>
      <c r="O57" s="189"/>
      <c r="P57" s="189"/>
      <c r="Q57" s="189"/>
      <c r="R57" s="189"/>
      <c r="S57" s="189"/>
      <c r="T57" s="189"/>
      <c r="U57" s="211"/>
      <c r="V57" s="211"/>
      <c r="W57" s="211"/>
      <c r="X57" s="211"/>
      <c r="Y57" s="211"/>
      <c r="Z57" s="19" t="s">
        <v>82</v>
      </c>
      <c r="AA57" s="20" t="s">
        <v>55</v>
      </c>
      <c r="AB57" s="21">
        <v>6</v>
      </c>
      <c r="AC57" s="21">
        <v>3750000</v>
      </c>
      <c r="AD57" s="33"/>
      <c r="AE57" s="20">
        <v>50</v>
      </c>
      <c r="AF57" s="21">
        <f t="shared" si="1"/>
        <v>11250000</v>
      </c>
      <c r="AG57" s="195"/>
      <c r="AH57" s="223"/>
      <c r="AI57" s="23">
        <f>AB57*25</f>
        <v>150</v>
      </c>
    </row>
    <row r="58" spans="1:37" s="23" customFormat="1" ht="43.5" customHeight="1">
      <c r="A58" s="20"/>
      <c r="B58" s="217"/>
      <c r="C58" s="219"/>
      <c r="D58" s="19"/>
      <c r="E58" s="36"/>
      <c r="F58" s="43"/>
      <c r="G58" s="189"/>
      <c r="H58" s="189"/>
      <c r="I58" s="189"/>
      <c r="J58" s="189"/>
      <c r="K58" s="189"/>
      <c r="L58" s="189"/>
      <c r="M58" s="189"/>
      <c r="N58" s="189"/>
      <c r="O58" s="189"/>
      <c r="P58" s="189"/>
      <c r="Q58" s="189"/>
      <c r="R58" s="189"/>
      <c r="S58" s="189"/>
      <c r="T58" s="189"/>
      <c r="U58" s="211"/>
      <c r="V58" s="211"/>
      <c r="W58" s="211"/>
      <c r="X58" s="211"/>
      <c r="Y58" s="211"/>
      <c r="Z58" s="49" t="s">
        <v>83</v>
      </c>
      <c r="AA58" s="36" t="s">
        <v>49</v>
      </c>
      <c r="AB58" s="21">
        <v>70</v>
      </c>
      <c r="AC58" s="21">
        <v>200000</v>
      </c>
      <c r="AD58" s="33"/>
      <c r="AE58" s="20">
        <v>30</v>
      </c>
      <c r="AF58" s="21">
        <f t="shared" si="1"/>
        <v>4200000</v>
      </c>
      <c r="AG58" s="195"/>
      <c r="AH58" s="224"/>
    </row>
    <row r="59" spans="1:37" s="35" customFormat="1" ht="28.5" customHeight="1">
      <c r="A59" s="20"/>
      <c r="B59" s="216">
        <v>10</v>
      </c>
      <c r="C59" s="216" t="s">
        <v>84</v>
      </c>
      <c r="D59" s="193" t="s">
        <v>154</v>
      </c>
      <c r="E59" s="193" t="s">
        <v>155</v>
      </c>
      <c r="F59" s="50"/>
      <c r="G59" s="226">
        <v>64</v>
      </c>
      <c r="H59" s="226">
        <v>239</v>
      </c>
      <c r="I59" s="226">
        <v>368.7</v>
      </c>
      <c r="J59" s="226" t="s">
        <v>2</v>
      </c>
      <c r="K59" s="226">
        <v>360</v>
      </c>
      <c r="L59" s="226"/>
      <c r="M59" s="226"/>
      <c r="N59" s="226">
        <f>I59-K59</f>
        <v>8.6999999999999886</v>
      </c>
      <c r="O59" s="239">
        <f>K59+K65</f>
        <v>720</v>
      </c>
      <c r="P59" s="239">
        <v>648</v>
      </c>
      <c r="Q59" s="239"/>
      <c r="R59" s="239">
        <v>100</v>
      </c>
      <c r="S59" s="233">
        <v>12</v>
      </c>
      <c r="T59" s="233">
        <v>2</v>
      </c>
      <c r="U59" s="236">
        <v>80000</v>
      </c>
      <c r="V59" s="236">
        <f>U59*O59</f>
        <v>57600000</v>
      </c>
      <c r="W59" s="236">
        <f>V59*3</f>
        <v>172800000</v>
      </c>
      <c r="X59" s="236">
        <f>S59*T59*510000</f>
        <v>12240000</v>
      </c>
      <c r="Y59" s="236">
        <f>SUM(V59:X70)</f>
        <v>254880000</v>
      </c>
      <c r="Z59" s="19" t="s">
        <v>85</v>
      </c>
      <c r="AA59" s="20" t="s">
        <v>55</v>
      </c>
      <c r="AB59" s="21">
        <v>18</v>
      </c>
      <c r="AC59" s="21">
        <v>3000000</v>
      </c>
      <c r="AD59" s="33"/>
      <c r="AE59" s="20">
        <v>100</v>
      </c>
      <c r="AF59" s="21">
        <f t="shared" si="1"/>
        <v>54000000</v>
      </c>
      <c r="AG59" s="229">
        <f>SUM(AF59:AF64)</f>
        <v>60300000</v>
      </c>
      <c r="AH59" s="222">
        <f>Y59+AG59+AG65</f>
        <v>351180000</v>
      </c>
      <c r="AI59" s="35">
        <f>AB59*20</f>
        <v>360</v>
      </c>
      <c r="AJ59" s="35" t="s">
        <v>86</v>
      </c>
    </row>
    <row r="60" spans="1:37" s="35" customFormat="1" ht="32.25" customHeight="1">
      <c r="A60" s="20"/>
      <c r="B60" s="217"/>
      <c r="C60" s="217"/>
      <c r="D60" s="193"/>
      <c r="E60" s="193"/>
      <c r="F60" s="51"/>
      <c r="G60" s="227"/>
      <c r="H60" s="227"/>
      <c r="I60" s="227"/>
      <c r="J60" s="227"/>
      <c r="K60" s="227"/>
      <c r="L60" s="227"/>
      <c r="M60" s="227"/>
      <c r="N60" s="227"/>
      <c r="O60" s="227"/>
      <c r="P60" s="227"/>
      <c r="Q60" s="227"/>
      <c r="R60" s="227"/>
      <c r="S60" s="234"/>
      <c r="T60" s="234"/>
      <c r="U60" s="237"/>
      <c r="V60" s="237"/>
      <c r="W60" s="237"/>
      <c r="X60" s="237"/>
      <c r="Y60" s="237"/>
      <c r="Z60" s="19" t="s">
        <v>87</v>
      </c>
      <c r="AA60" s="20" t="s">
        <v>55</v>
      </c>
      <c r="AB60" s="21">
        <v>4</v>
      </c>
      <c r="AC60" s="21">
        <v>3000000</v>
      </c>
      <c r="AD60" s="33"/>
      <c r="AE60" s="20">
        <v>30</v>
      </c>
      <c r="AF60" s="21">
        <f t="shared" si="1"/>
        <v>3600000</v>
      </c>
      <c r="AG60" s="230"/>
      <c r="AH60" s="223"/>
    </row>
    <row r="61" spans="1:37" s="35" customFormat="1" ht="32.25" customHeight="1">
      <c r="A61" s="20"/>
      <c r="B61" s="217"/>
      <c r="C61" s="217"/>
      <c r="D61" s="193"/>
      <c r="E61" s="193"/>
      <c r="F61" s="51"/>
      <c r="G61" s="227"/>
      <c r="H61" s="227"/>
      <c r="I61" s="227"/>
      <c r="J61" s="227"/>
      <c r="K61" s="227"/>
      <c r="L61" s="227"/>
      <c r="M61" s="227"/>
      <c r="N61" s="227"/>
      <c r="O61" s="227"/>
      <c r="P61" s="227"/>
      <c r="Q61" s="227"/>
      <c r="R61" s="227"/>
      <c r="S61" s="234"/>
      <c r="T61" s="234"/>
      <c r="U61" s="237"/>
      <c r="V61" s="237"/>
      <c r="W61" s="237"/>
      <c r="X61" s="237"/>
      <c r="Y61" s="237"/>
      <c r="Z61" s="19" t="s">
        <v>88</v>
      </c>
      <c r="AA61" s="20" t="s">
        <v>55</v>
      </c>
      <c r="AB61" s="21">
        <v>2</v>
      </c>
      <c r="AC61" s="21">
        <v>4500000</v>
      </c>
      <c r="AD61" s="33"/>
      <c r="AE61" s="20">
        <v>30</v>
      </c>
      <c r="AF61" s="21">
        <f t="shared" si="1"/>
        <v>2700000</v>
      </c>
      <c r="AG61" s="230"/>
      <c r="AH61" s="223"/>
    </row>
    <row r="62" spans="1:37" s="35" customFormat="1" ht="28.5" customHeight="1">
      <c r="A62" s="20"/>
      <c r="B62" s="217"/>
      <c r="C62" s="217"/>
      <c r="D62" s="193"/>
      <c r="E62" s="193"/>
      <c r="F62" s="51"/>
      <c r="G62" s="227"/>
      <c r="H62" s="227"/>
      <c r="I62" s="227"/>
      <c r="J62" s="227"/>
      <c r="K62" s="227"/>
      <c r="L62" s="227"/>
      <c r="M62" s="227"/>
      <c r="N62" s="227"/>
      <c r="O62" s="227"/>
      <c r="P62" s="227"/>
      <c r="Q62" s="227"/>
      <c r="R62" s="227"/>
      <c r="S62" s="234"/>
      <c r="T62" s="234"/>
      <c r="U62" s="237"/>
      <c r="V62" s="237"/>
      <c r="W62" s="237"/>
      <c r="X62" s="237"/>
      <c r="Y62" s="237"/>
      <c r="Z62" s="19" t="s">
        <v>89</v>
      </c>
      <c r="AA62" s="20" t="s">
        <v>55</v>
      </c>
      <c r="AB62" s="21">
        <v>1</v>
      </c>
      <c r="AC62" s="21">
        <v>130000</v>
      </c>
      <c r="AD62" s="33"/>
      <c r="AE62" s="20">
        <v>0</v>
      </c>
      <c r="AF62" s="21">
        <f t="shared" si="1"/>
        <v>0</v>
      </c>
      <c r="AG62" s="230"/>
      <c r="AH62" s="223"/>
      <c r="AJ62" s="35" t="s">
        <v>90</v>
      </c>
    </row>
    <row r="63" spans="1:37" s="35" customFormat="1" ht="28.5" customHeight="1">
      <c r="A63" s="20"/>
      <c r="B63" s="217"/>
      <c r="C63" s="217"/>
      <c r="D63" s="193"/>
      <c r="E63" s="193"/>
      <c r="F63" s="51"/>
      <c r="G63" s="227"/>
      <c r="H63" s="227"/>
      <c r="I63" s="227"/>
      <c r="J63" s="227"/>
      <c r="K63" s="227"/>
      <c r="L63" s="227"/>
      <c r="M63" s="227"/>
      <c r="N63" s="227"/>
      <c r="O63" s="227"/>
      <c r="P63" s="227"/>
      <c r="Q63" s="227"/>
      <c r="R63" s="227"/>
      <c r="S63" s="234"/>
      <c r="T63" s="234"/>
      <c r="U63" s="237"/>
      <c r="V63" s="237"/>
      <c r="W63" s="237"/>
      <c r="X63" s="237"/>
      <c r="Y63" s="237"/>
      <c r="Z63" s="19" t="s">
        <v>91</v>
      </c>
      <c r="AA63" s="20" t="s">
        <v>55</v>
      </c>
      <c r="AB63" s="21">
        <v>2</v>
      </c>
      <c r="AC63" s="21"/>
      <c r="AD63" s="33"/>
      <c r="AE63" s="20">
        <v>0</v>
      </c>
      <c r="AF63" s="21">
        <f t="shared" si="1"/>
        <v>0</v>
      </c>
      <c r="AG63" s="230"/>
      <c r="AH63" s="223"/>
    </row>
    <row r="64" spans="1:37" s="35" customFormat="1" ht="53.25" customHeight="1">
      <c r="A64" s="20"/>
      <c r="B64" s="217"/>
      <c r="C64" s="217"/>
      <c r="D64" s="193"/>
      <c r="E64" s="193"/>
      <c r="F64" s="51"/>
      <c r="G64" s="228"/>
      <c r="H64" s="228"/>
      <c r="I64" s="228"/>
      <c r="J64" s="228"/>
      <c r="K64" s="228"/>
      <c r="L64" s="228"/>
      <c r="M64" s="228"/>
      <c r="N64" s="228"/>
      <c r="O64" s="227"/>
      <c r="P64" s="227"/>
      <c r="Q64" s="227"/>
      <c r="R64" s="227"/>
      <c r="S64" s="234"/>
      <c r="T64" s="234"/>
      <c r="U64" s="237"/>
      <c r="V64" s="237"/>
      <c r="W64" s="237"/>
      <c r="X64" s="237"/>
      <c r="Y64" s="237"/>
      <c r="Z64" s="19" t="s">
        <v>43</v>
      </c>
      <c r="AA64" s="20" t="s">
        <v>147</v>
      </c>
      <c r="AB64" s="52">
        <v>7</v>
      </c>
      <c r="AC64" s="21">
        <v>655300</v>
      </c>
      <c r="AD64" s="33"/>
      <c r="AE64" s="20">
        <v>0</v>
      </c>
      <c r="AF64" s="21">
        <f t="shared" si="1"/>
        <v>0</v>
      </c>
      <c r="AG64" s="231"/>
      <c r="AH64" s="223"/>
    </row>
    <row r="65" spans="1:36" s="23" customFormat="1" ht="29.25" customHeight="1">
      <c r="A65" s="191"/>
      <c r="B65" s="217"/>
      <c r="C65" s="217"/>
      <c r="D65" s="232" t="s">
        <v>84</v>
      </c>
      <c r="E65" s="232"/>
      <c r="F65" s="43"/>
      <c r="G65" s="189">
        <v>64</v>
      </c>
      <c r="H65" s="189">
        <v>297</v>
      </c>
      <c r="I65" s="189">
        <v>343.3</v>
      </c>
      <c r="J65" s="189" t="s">
        <v>2</v>
      </c>
      <c r="K65" s="190">
        <v>360</v>
      </c>
      <c r="L65" s="190"/>
      <c r="M65" s="190"/>
      <c r="N65" s="190">
        <f>I65-K65</f>
        <v>-16.699999999999989</v>
      </c>
      <c r="O65" s="227"/>
      <c r="P65" s="227">
        <v>360</v>
      </c>
      <c r="Q65" s="227"/>
      <c r="R65" s="227">
        <f>O65/P65*100</f>
        <v>0</v>
      </c>
      <c r="S65" s="234">
        <v>12</v>
      </c>
      <c r="T65" s="234">
        <v>2</v>
      </c>
      <c r="U65" s="237">
        <v>80000</v>
      </c>
      <c r="V65" s="237">
        <f>U65*O65</f>
        <v>0</v>
      </c>
      <c r="W65" s="237">
        <f>V65*3</f>
        <v>0</v>
      </c>
      <c r="X65" s="237">
        <f>S65*T65*X6</f>
        <v>12240000</v>
      </c>
      <c r="Y65" s="237">
        <f>SUM(V65:X70)</f>
        <v>12240000</v>
      </c>
      <c r="Z65" s="19" t="s">
        <v>85</v>
      </c>
      <c r="AA65" s="20" t="s">
        <v>55</v>
      </c>
      <c r="AB65" s="21">
        <v>6</v>
      </c>
      <c r="AC65" s="21">
        <v>3000000</v>
      </c>
      <c r="AD65" s="33"/>
      <c r="AE65" s="20">
        <v>100</v>
      </c>
      <c r="AF65" s="21">
        <f t="shared" si="1"/>
        <v>18000000</v>
      </c>
      <c r="AG65" s="195">
        <f>SUM(AF65:AF70)</f>
        <v>36000000</v>
      </c>
      <c r="AH65" s="223"/>
      <c r="AI65" s="23">
        <f>AB65*20</f>
        <v>120</v>
      </c>
      <c r="AJ65" s="23" t="s">
        <v>63</v>
      </c>
    </row>
    <row r="66" spans="1:36" s="23" customFormat="1" ht="29.25" customHeight="1">
      <c r="A66" s="191"/>
      <c r="B66" s="217"/>
      <c r="C66" s="217"/>
      <c r="D66" s="232"/>
      <c r="E66" s="232"/>
      <c r="F66" s="43"/>
      <c r="G66" s="189"/>
      <c r="H66" s="189"/>
      <c r="I66" s="189"/>
      <c r="J66" s="189"/>
      <c r="K66" s="190"/>
      <c r="L66" s="190"/>
      <c r="M66" s="190"/>
      <c r="N66" s="190"/>
      <c r="O66" s="227"/>
      <c r="P66" s="227"/>
      <c r="Q66" s="227"/>
      <c r="R66" s="227"/>
      <c r="S66" s="234"/>
      <c r="T66" s="234"/>
      <c r="U66" s="237"/>
      <c r="V66" s="237"/>
      <c r="W66" s="237"/>
      <c r="X66" s="237"/>
      <c r="Y66" s="237"/>
      <c r="Z66" s="19" t="s">
        <v>45</v>
      </c>
      <c r="AA66" s="20" t="s">
        <v>55</v>
      </c>
      <c r="AB66" s="21">
        <v>6</v>
      </c>
      <c r="AC66" s="21">
        <v>2500000</v>
      </c>
      <c r="AD66" s="33"/>
      <c r="AE66" s="20">
        <v>100</v>
      </c>
      <c r="AF66" s="21">
        <f t="shared" si="1"/>
        <v>15000000</v>
      </c>
      <c r="AG66" s="195"/>
      <c r="AH66" s="223"/>
      <c r="AI66" s="23">
        <f>AB66*20</f>
        <v>120</v>
      </c>
    </row>
    <row r="67" spans="1:36" s="23" customFormat="1" ht="29.25" customHeight="1">
      <c r="A67" s="191"/>
      <c r="B67" s="217"/>
      <c r="C67" s="217"/>
      <c r="D67" s="232"/>
      <c r="E67" s="232"/>
      <c r="F67" s="43"/>
      <c r="G67" s="189"/>
      <c r="H67" s="189"/>
      <c r="I67" s="189"/>
      <c r="J67" s="189"/>
      <c r="K67" s="190"/>
      <c r="L67" s="190"/>
      <c r="M67" s="190"/>
      <c r="N67" s="190"/>
      <c r="O67" s="227"/>
      <c r="P67" s="227"/>
      <c r="Q67" s="227"/>
      <c r="R67" s="227"/>
      <c r="S67" s="234"/>
      <c r="T67" s="234"/>
      <c r="U67" s="237"/>
      <c r="V67" s="237"/>
      <c r="W67" s="237"/>
      <c r="X67" s="237"/>
      <c r="Y67" s="237"/>
      <c r="Z67" s="19" t="s">
        <v>92</v>
      </c>
      <c r="AA67" s="20" t="s">
        <v>55</v>
      </c>
      <c r="AB67" s="21">
        <v>12</v>
      </c>
      <c r="AC67" s="21">
        <v>500000</v>
      </c>
      <c r="AD67" s="33"/>
      <c r="AE67" s="20">
        <v>50</v>
      </c>
      <c r="AF67" s="21">
        <f t="shared" si="1"/>
        <v>3000000</v>
      </c>
      <c r="AG67" s="195"/>
      <c r="AH67" s="223"/>
    </row>
    <row r="68" spans="1:36" s="23" customFormat="1" ht="29.25" customHeight="1">
      <c r="A68" s="191"/>
      <c r="B68" s="217"/>
      <c r="C68" s="217"/>
      <c r="D68" s="232"/>
      <c r="E68" s="232"/>
      <c r="F68" s="43"/>
      <c r="G68" s="189"/>
      <c r="H68" s="189"/>
      <c r="I68" s="189"/>
      <c r="J68" s="189"/>
      <c r="K68" s="190"/>
      <c r="L68" s="190"/>
      <c r="M68" s="190"/>
      <c r="N68" s="190"/>
      <c r="O68" s="227"/>
      <c r="P68" s="227"/>
      <c r="Q68" s="227"/>
      <c r="R68" s="227"/>
      <c r="S68" s="234"/>
      <c r="T68" s="234"/>
      <c r="U68" s="237"/>
      <c r="V68" s="237"/>
      <c r="W68" s="237"/>
      <c r="X68" s="237"/>
      <c r="Y68" s="237"/>
      <c r="Z68" s="53" t="s">
        <v>93</v>
      </c>
      <c r="AA68" s="20" t="s">
        <v>55</v>
      </c>
      <c r="AB68" s="21">
        <v>14</v>
      </c>
      <c r="AC68" s="21">
        <v>200000</v>
      </c>
      <c r="AD68" s="33"/>
      <c r="AE68" s="20">
        <v>0</v>
      </c>
      <c r="AF68" s="21">
        <f t="shared" si="1"/>
        <v>0</v>
      </c>
      <c r="AG68" s="195"/>
      <c r="AH68" s="223"/>
      <c r="AJ68" s="23" t="s">
        <v>94</v>
      </c>
    </row>
    <row r="69" spans="1:36" s="23" customFormat="1" ht="29.25" customHeight="1">
      <c r="A69" s="191"/>
      <c r="B69" s="217"/>
      <c r="C69" s="217"/>
      <c r="D69" s="232"/>
      <c r="E69" s="232"/>
      <c r="F69" s="43"/>
      <c r="G69" s="189"/>
      <c r="H69" s="189"/>
      <c r="I69" s="189"/>
      <c r="J69" s="189"/>
      <c r="K69" s="190"/>
      <c r="L69" s="190"/>
      <c r="M69" s="190"/>
      <c r="N69" s="190"/>
      <c r="O69" s="227"/>
      <c r="P69" s="227"/>
      <c r="Q69" s="227"/>
      <c r="R69" s="227"/>
      <c r="S69" s="234"/>
      <c r="T69" s="234"/>
      <c r="U69" s="237"/>
      <c r="V69" s="237"/>
      <c r="W69" s="237"/>
      <c r="X69" s="237"/>
      <c r="Y69" s="237"/>
      <c r="Z69" s="19" t="s">
        <v>95</v>
      </c>
      <c r="AA69" s="20" t="s">
        <v>55</v>
      </c>
      <c r="AB69" s="21">
        <v>3</v>
      </c>
      <c r="AC69" s="21">
        <v>220000</v>
      </c>
      <c r="AD69" s="33"/>
      <c r="AE69" s="20">
        <v>0</v>
      </c>
      <c r="AF69" s="21">
        <f t="shared" si="1"/>
        <v>0</v>
      </c>
      <c r="AG69" s="195"/>
      <c r="AH69" s="223"/>
    </row>
    <row r="70" spans="1:36" s="23" customFormat="1" ht="41.25" customHeight="1">
      <c r="A70" s="191"/>
      <c r="B70" s="225"/>
      <c r="C70" s="225"/>
      <c r="D70" s="232"/>
      <c r="E70" s="232"/>
      <c r="F70" s="43"/>
      <c r="G70" s="189"/>
      <c r="H70" s="189"/>
      <c r="I70" s="189"/>
      <c r="J70" s="189"/>
      <c r="K70" s="190"/>
      <c r="L70" s="190"/>
      <c r="M70" s="190"/>
      <c r="N70" s="190"/>
      <c r="O70" s="228"/>
      <c r="P70" s="228"/>
      <c r="Q70" s="228"/>
      <c r="R70" s="228"/>
      <c r="S70" s="235"/>
      <c r="T70" s="235"/>
      <c r="U70" s="238"/>
      <c r="V70" s="238"/>
      <c r="W70" s="238"/>
      <c r="X70" s="238"/>
      <c r="Y70" s="238"/>
      <c r="Z70" s="49" t="s">
        <v>96</v>
      </c>
      <c r="AA70" s="20" t="s">
        <v>55</v>
      </c>
      <c r="AB70" s="21">
        <v>20</v>
      </c>
      <c r="AC70" s="21">
        <v>60000</v>
      </c>
      <c r="AD70" s="33"/>
      <c r="AE70" s="20">
        <v>0</v>
      </c>
      <c r="AF70" s="21">
        <f t="shared" si="1"/>
        <v>0</v>
      </c>
      <c r="AG70" s="195"/>
      <c r="AH70" s="224"/>
    </row>
    <row r="71" spans="1:36" s="54" customFormat="1" ht="33" customHeight="1">
      <c r="B71" s="55"/>
      <c r="C71" s="55" t="s">
        <v>46</v>
      </c>
      <c r="D71" s="55"/>
      <c r="E71" s="55"/>
      <c r="F71" s="55"/>
      <c r="G71" s="55"/>
      <c r="H71" s="55"/>
      <c r="I71" s="55">
        <f>SUM(I8:I70)</f>
        <v>9810.7999999999993</v>
      </c>
      <c r="J71" s="55"/>
      <c r="K71" s="55">
        <f t="shared" ref="K71:AH71" si="4">SUM(K8:K70)</f>
        <v>9799.2000000000007</v>
      </c>
      <c r="L71" s="55">
        <f t="shared" si="4"/>
        <v>15.900000000000034</v>
      </c>
      <c r="M71" s="55">
        <f t="shared" si="4"/>
        <v>0</v>
      </c>
      <c r="N71" s="55">
        <f t="shared" si="4"/>
        <v>11.600000000000051</v>
      </c>
      <c r="O71" s="55">
        <f t="shared" si="4"/>
        <v>9799.2000000000007</v>
      </c>
      <c r="P71" s="55">
        <f t="shared" si="4"/>
        <v>12176.8</v>
      </c>
      <c r="Q71" s="55">
        <f t="shared" si="4"/>
        <v>0</v>
      </c>
      <c r="R71" s="55"/>
      <c r="S71" s="55"/>
      <c r="T71" s="55"/>
      <c r="U71" s="55"/>
      <c r="V71" s="56">
        <f t="shared" si="4"/>
        <v>783936000</v>
      </c>
      <c r="W71" s="56">
        <f t="shared" si="4"/>
        <v>2351808000</v>
      </c>
      <c r="X71" s="56">
        <f t="shared" si="4"/>
        <v>272340000</v>
      </c>
      <c r="Y71" s="56">
        <f t="shared" si="4"/>
        <v>3420324000</v>
      </c>
      <c r="Z71" s="56"/>
      <c r="AA71" s="56"/>
      <c r="AB71" s="56"/>
      <c r="AC71" s="56"/>
      <c r="AD71" s="56"/>
      <c r="AE71" s="56"/>
      <c r="AF71" s="56"/>
      <c r="AG71" s="56">
        <f t="shared" si="4"/>
        <v>1427471000</v>
      </c>
      <c r="AH71" s="56">
        <f t="shared" si="4"/>
        <v>4835555000</v>
      </c>
    </row>
  </sheetData>
  <mergeCells count="334">
    <mergeCell ref="AG65:AG70"/>
    <mergeCell ref="AG59:AG64"/>
    <mergeCell ref="AH59:AH70"/>
    <mergeCell ref="A65:A70"/>
    <mergeCell ref="D65:D70"/>
    <mergeCell ref="E65:E70"/>
    <mergeCell ref="G65:G70"/>
    <mergeCell ref="H65:H70"/>
    <mergeCell ref="I65:I70"/>
    <mergeCell ref="J65:J70"/>
    <mergeCell ref="K65:K70"/>
    <mergeCell ref="T59:T70"/>
    <mergeCell ref="U59:U70"/>
    <mergeCell ref="V59:V70"/>
    <mergeCell ref="W59:W70"/>
    <mergeCell ref="X59:X70"/>
    <mergeCell ref="Y59:Y70"/>
    <mergeCell ref="N59:N64"/>
    <mergeCell ref="O59:O70"/>
    <mergeCell ref="P59:P70"/>
    <mergeCell ref="Q59:Q70"/>
    <mergeCell ref="R59:R70"/>
    <mergeCell ref="S59:S70"/>
    <mergeCell ref="H59:H64"/>
    <mergeCell ref="I59:I64"/>
    <mergeCell ref="J59:J64"/>
    <mergeCell ref="K59:K64"/>
    <mergeCell ref="L59:L64"/>
    <mergeCell ref="M59:M64"/>
    <mergeCell ref="W56:W58"/>
    <mergeCell ref="H56:H58"/>
    <mergeCell ref="I56:I58"/>
    <mergeCell ref="J56:J58"/>
    <mergeCell ref="L65:L70"/>
    <mergeCell ref="M65:M70"/>
    <mergeCell ref="N65:N70"/>
    <mergeCell ref="X56:X58"/>
    <mergeCell ref="Y56:Y58"/>
    <mergeCell ref="AG56:AG58"/>
    <mergeCell ref="AH56:AH58"/>
    <mergeCell ref="B59:B70"/>
    <mergeCell ref="C59:C70"/>
    <mergeCell ref="D59:D64"/>
    <mergeCell ref="E59:E64"/>
    <mergeCell ref="G59:G64"/>
    <mergeCell ref="Q56:Q58"/>
    <mergeCell ref="R56:R58"/>
    <mergeCell ref="S56:S58"/>
    <mergeCell ref="T56:T58"/>
    <mergeCell ref="U56:U58"/>
    <mergeCell ref="V56:V58"/>
    <mergeCell ref="K56:K58"/>
    <mergeCell ref="L56:L58"/>
    <mergeCell ref="M56:M58"/>
    <mergeCell ref="N56:N58"/>
    <mergeCell ref="O56:O58"/>
    <mergeCell ref="P56:P58"/>
    <mergeCell ref="B56:B58"/>
    <mergeCell ref="C56:C58"/>
    <mergeCell ref="G56:G58"/>
    <mergeCell ref="AH45:AH55"/>
    <mergeCell ref="AK45:AK55"/>
    <mergeCell ref="G48:G50"/>
    <mergeCell ref="H48:H50"/>
    <mergeCell ref="I48:I50"/>
    <mergeCell ref="J48:J50"/>
    <mergeCell ref="K48:K50"/>
    <mergeCell ref="M48:M50"/>
    <mergeCell ref="S45:S55"/>
    <mergeCell ref="T45:T55"/>
    <mergeCell ref="U45:U55"/>
    <mergeCell ref="V45:V55"/>
    <mergeCell ref="W45:W55"/>
    <mergeCell ref="X45:X55"/>
    <mergeCell ref="M45:M47"/>
    <mergeCell ref="N45:N47"/>
    <mergeCell ref="O45:O55"/>
    <mergeCell ref="P45:P55"/>
    <mergeCell ref="Q45:Q55"/>
    <mergeCell ref="R45:R55"/>
    <mergeCell ref="N48:N50"/>
    <mergeCell ref="AG48:AG50"/>
    <mergeCell ref="G51:G55"/>
    <mergeCell ref="H51:H55"/>
    <mergeCell ref="AG40:AG44"/>
    <mergeCell ref="B45:B55"/>
    <mergeCell ref="C45:C55"/>
    <mergeCell ref="D45:D50"/>
    <mergeCell ref="E45:E50"/>
    <mergeCell ref="G45:G47"/>
    <mergeCell ref="H45:H47"/>
    <mergeCell ref="I45:I47"/>
    <mergeCell ref="J45:J47"/>
    <mergeCell ref="K45:K47"/>
    <mergeCell ref="I51:I55"/>
    <mergeCell ref="J51:J55"/>
    <mergeCell ref="K51:K55"/>
    <mergeCell ref="L51:L55"/>
    <mergeCell ref="M51:M55"/>
    <mergeCell ref="N51:N55"/>
    <mergeCell ref="AG51:AG55"/>
    <mergeCell ref="Y45:Y55"/>
    <mergeCell ref="AG45:AG47"/>
    <mergeCell ref="AG38:AG39"/>
    <mergeCell ref="AH38:AH44"/>
    <mergeCell ref="G40:G44"/>
    <mergeCell ref="H40:H44"/>
    <mergeCell ref="I40:I44"/>
    <mergeCell ref="J40:J44"/>
    <mergeCell ref="K40:K44"/>
    <mergeCell ref="L40:L44"/>
    <mergeCell ref="M40:M44"/>
    <mergeCell ref="N40:N44"/>
    <mergeCell ref="T38:T44"/>
    <mergeCell ref="U38:U44"/>
    <mergeCell ref="V38:V44"/>
    <mergeCell ref="W38:W44"/>
    <mergeCell ref="X38:X44"/>
    <mergeCell ref="Y38:Y44"/>
    <mergeCell ref="N38:N39"/>
    <mergeCell ref="O38:O44"/>
    <mergeCell ref="P38:P44"/>
    <mergeCell ref="Q38:Q44"/>
    <mergeCell ref="R38:R44"/>
    <mergeCell ref="S38:S44"/>
    <mergeCell ref="H38:H39"/>
    <mergeCell ref="I38:I39"/>
    <mergeCell ref="J38:J39"/>
    <mergeCell ref="K38:K39"/>
    <mergeCell ref="L38:L39"/>
    <mergeCell ref="M38:M39"/>
    <mergeCell ref="B38:B44"/>
    <mergeCell ref="C38:C44"/>
    <mergeCell ref="D38:D39"/>
    <mergeCell ref="E38:E39"/>
    <mergeCell ref="F38:F39"/>
    <mergeCell ref="G38:G39"/>
    <mergeCell ref="AK30:AK37"/>
    <mergeCell ref="A36:A37"/>
    <mergeCell ref="G36:G37"/>
    <mergeCell ref="H36:H37"/>
    <mergeCell ref="I36:I37"/>
    <mergeCell ref="J36:J37"/>
    <mergeCell ref="K36:K37"/>
    <mergeCell ref="L36:L37"/>
    <mergeCell ref="M36:M37"/>
    <mergeCell ref="N36:N37"/>
    <mergeCell ref="V30:V37"/>
    <mergeCell ref="W30:W37"/>
    <mergeCell ref="X30:X37"/>
    <mergeCell ref="Y30:Y37"/>
    <mergeCell ref="AG30:AG35"/>
    <mergeCell ref="AH30:AH37"/>
    <mergeCell ref="AG36:AG37"/>
    <mergeCell ref="P30:P37"/>
    <mergeCell ref="Q30:Q37"/>
    <mergeCell ref="R30:R37"/>
    <mergeCell ref="S30:S37"/>
    <mergeCell ref="T30:T37"/>
    <mergeCell ref="U30:U37"/>
    <mergeCell ref="J30:J35"/>
    <mergeCell ref="K30:K35"/>
    <mergeCell ref="L30:L35"/>
    <mergeCell ref="M30:M35"/>
    <mergeCell ref="N30:N35"/>
    <mergeCell ref="O30:O37"/>
    <mergeCell ref="AG25:AG27"/>
    <mergeCell ref="AH25:AH29"/>
    <mergeCell ref="A30:A35"/>
    <mergeCell ref="B30:B37"/>
    <mergeCell ref="C30:C37"/>
    <mergeCell ref="D30:D37"/>
    <mergeCell ref="E30:E37"/>
    <mergeCell ref="G30:G35"/>
    <mergeCell ref="H30:H35"/>
    <mergeCell ref="I30:I35"/>
    <mergeCell ref="T25:T29"/>
    <mergeCell ref="U25:U29"/>
    <mergeCell ref="V25:V29"/>
    <mergeCell ref="W25:W29"/>
    <mergeCell ref="X25:X29"/>
    <mergeCell ref="Y25:Y29"/>
    <mergeCell ref="N25:N27"/>
    <mergeCell ref="O25:O29"/>
    <mergeCell ref="P25:P29"/>
    <mergeCell ref="Q25:Q29"/>
    <mergeCell ref="R25:R29"/>
    <mergeCell ref="S25:S29"/>
    <mergeCell ref="H25:H27"/>
    <mergeCell ref="I25:I27"/>
    <mergeCell ref="J25:J27"/>
    <mergeCell ref="K25:K27"/>
    <mergeCell ref="L25:L27"/>
    <mergeCell ref="M25:M27"/>
    <mergeCell ref="B25:B29"/>
    <mergeCell ref="C25:C29"/>
    <mergeCell ref="D25:D28"/>
    <mergeCell ref="E25:E28"/>
    <mergeCell ref="F25:F27"/>
    <mergeCell ref="G25:G27"/>
    <mergeCell ref="AH21:AH24"/>
    <mergeCell ref="G23:G24"/>
    <mergeCell ref="H23:H24"/>
    <mergeCell ref="I23:I24"/>
    <mergeCell ref="J23:J24"/>
    <mergeCell ref="K23:K24"/>
    <mergeCell ref="L23:L24"/>
    <mergeCell ref="M23:M24"/>
    <mergeCell ref="N23:N24"/>
    <mergeCell ref="AG23:AG24"/>
    <mergeCell ref="U21:U24"/>
    <mergeCell ref="V21:V24"/>
    <mergeCell ref="W21:W24"/>
    <mergeCell ref="X21:X24"/>
    <mergeCell ref="Y21:Y24"/>
    <mergeCell ref="AG21:AG22"/>
    <mergeCell ref="O21:O24"/>
    <mergeCell ref="P21:P24"/>
    <mergeCell ref="AH14:AH20"/>
    <mergeCell ref="A19:A20"/>
    <mergeCell ref="G19:G20"/>
    <mergeCell ref="H19:H20"/>
    <mergeCell ref="I19:I20"/>
    <mergeCell ref="J19:J20"/>
    <mergeCell ref="K19:K20"/>
    <mergeCell ref="N19:N20"/>
    <mergeCell ref="Q19:Q20"/>
    <mergeCell ref="AG19:AG20"/>
    <mergeCell ref="U14:U20"/>
    <mergeCell ref="V14:V20"/>
    <mergeCell ref="W14:W20"/>
    <mergeCell ref="X14:X20"/>
    <mergeCell ref="Y14:Y20"/>
    <mergeCell ref="AG14:AG18"/>
    <mergeCell ref="O14:O20"/>
    <mergeCell ref="P14:P20"/>
    <mergeCell ref="S14:S20"/>
    <mergeCell ref="T14:T20"/>
    <mergeCell ref="G14:G18"/>
    <mergeCell ref="H14:H18"/>
    <mergeCell ref="I14:I18"/>
    <mergeCell ref="J14:J18"/>
    <mergeCell ref="K14:K18"/>
    <mergeCell ref="N14:N18"/>
    <mergeCell ref="B21:B24"/>
    <mergeCell ref="C21:C24"/>
    <mergeCell ref="D21:D22"/>
    <mergeCell ref="E21:E22"/>
    <mergeCell ref="F21:F22"/>
    <mergeCell ref="G21:G22"/>
    <mergeCell ref="Q21:Q24"/>
    <mergeCell ref="R21:R24"/>
    <mergeCell ref="S21:S24"/>
    <mergeCell ref="T21:T24"/>
    <mergeCell ref="H21:H22"/>
    <mergeCell ref="I21:I22"/>
    <mergeCell ref="J21:J22"/>
    <mergeCell ref="K21:K22"/>
    <mergeCell ref="M21:M22"/>
    <mergeCell ref="N21:N22"/>
    <mergeCell ref="W11:W13"/>
    <mergeCell ref="X11:X13"/>
    <mergeCell ref="Y11:Y13"/>
    <mergeCell ref="AG11:AG13"/>
    <mergeCell ref="AH11:AH13"/>
    <mergeCell ref="A14:A18"/>
    <mergeCell ref="B14:B20"/>
    <mergeCell ref="C14:C20"/>
    <mergeCell ref="D14:D20"/>
    <mergeCell ref="E14:E20"/>
    <mergeCell ref="Q11:Q12"/>
    <mergeCell ref="R11:R13"/>
    <mergeCell ref="S11:S13"/>
    <mergeCell ref="T11:T13"/>
    <mergeCell ref="U11:U13"/>
    <mergeCell ref="V11:V13"/>
    <mergeCell ref="K11:K13"/>
    <mergeCell ref="L11:L13"/>
    <mergeCell ref="M11:M13"/>
    <mergeCell ref="N11:N13"/>
    <mergeCell ref="O11:O13"/>
    <mergeCell ref="P11:P13"/>
    <mergeCell ref="Q14:Q18"/>
    <mergeCell ref="R14:R20"/>
    <mergeCell ref="AH8:AH10"/>
    <mergeCell ref="A11:A13"/>
    <mergeCell ref="B11:B13"/>
    <mergeCell ref="C11:C13"/>
    <mergeCell ref="D11:D13"/>
    <mergeCell ref="E11:E13"/>
    <mergeCell ref="G11:G13"/>
    <mergeCell ref="H11:H13"/>
    <mergeCell ref="I11:I13"/>
    <mergeCell ref="J11:J13"/>
    <mergeCell ref="U8:U10"/>
    <mergeCell ref="V8:V10"/>
    <mergeCell ref="W8:W10"/>
    <mergeCell ref="X8:X10"/>
    <mergeCell ref="Y8:Y10"/>
    <mergeCell ref="AG8:AG10"/>
    <mergeCell ref="N8:N10"/>
    <mergeCell ref="O8:O10"/>
    <mergeCell ref="P8:P10"/>
    <mergeCell ref="R8:R10"/>
    <mergeCell ref="S8:S10"/>
    <mergeCell ref="T8:T10"/>
    <mergeCell ref="H8:H10"/>
    <mergeCell ref="I8:I10"/>
    <mergeCell ref="J8:J10"/>
    <mergeCell ref="K8:K10"/>
    <mergeCell ref="L8:L10"/>
    <mergeCell ref="M8:M10"/>
    <mergeCell ref="A8:A10"/>
    <mergeCell ref="B8:B10"/>
    <mergeCell ref="C8:C10"/>
    <mergeCell ref="D8:D10"/>
    <mergeCell ref="E8:E10"/>
    <mergeCell ref="G8:G10"/>
    <mergeCell ref="T3:T5"/>
    <mergeCell ref="U3:Y4"/>
    <mergeCell ref="Z3:AG4"/>
    <mergeCell ref="AH3:AH5"/>
    <mergeCell ref="F4:I4"/>
    <mergeCell ref="J4:P4"/>
    <mergeCell ref="B1:AH2"/>
    <mergeCell ref="A3:A5"/>
    <mergeCell ref="B3:B5"/>
    <mergeCell ref="C3:C5"/>
    <mergeCell ref="D3:D5"/>
    <mergeCell ref="E3:E5"/>
    <mergeCell ref="F3:P3"/>
    <mergeCell ref="Q3:Q5"/>
    <mergeCell ref="R3:R5"/>
    <mergeCell ref="S3:S5"/>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H131"/>
  <sheetViews>
    <sheetView tabSelected="1" zoomScale="80" zoomScaleNormal="80" workbookViewId="0">
      <selection activeCell="J9" sqref="J9:J17"/>
    </sheetView>
  </sheetViews>
  <sheetFormatPr defaultColWidth="7.75" defaultRowHeight="16.5"/>
  <cols>
    <col min="1" max="1" width="5.5" style="119" customWidth="1"/>
    <col min="2" max="2" width="23.375" style="120" customWidth="1"/>
    <col min="3" max="3" width="6.375" style="64" customWidth="1"/>
    <col min="4" max="4" width="7.25" style="64" bestFit="1" customWidth="1"/>
    <col min="5" max="5" width="7.75" style="64" customWidth="1"/>
    <col min="6" max="6" width="6.75" style="121" customWidth="1"/>
    <col min="7" max="7" width="8.375" style="122" customWidth="1"/>
    <col min="8" max="8" width="12.75" style="123" hidden="1" customWidth="1"/>
    <col min="9" max="9" width="7.75" style="121" customWidth="1"/>
    <col min="10" max="10" width="10.125" style="124" customWidth="1"/>
    <col min="11" max="11" width="8.625" style="124" customWidth="1"/>
    <col min="12" max="12" width="6.5" style="64" hidden="1" customWidth="1"/>
    <col min="13" max="13" width="7.875" style="125" customWidth="1"/>
    <col min="14" max="14" width="7.125" style="123" customWidth="1"/>
    <col min="15" max="15" width="8" style="124" customWidth="1"/>
    <col min="16" max="16" width="8.125" style="123" customWidth="1"/>
    <col min="17" max="17" width="11.875" style="123" customWidth="1"/>
    <col min="18" max="18" width="13.25" style="123" customWidth="1"/>
    <col min="19" max="19" width="14.25" style="123" customWidth="1"/>
    <col min="20" max="20" width="13.625" style="123" customWidth="1"/>
    <col min="21" max="21" width="35.25" style="120" customWidth="1"/>
    <col min="22" max="22" width="9.875" style="126" hidden="1" customWidth="1"/>
    <col min="23" max="23" width="11.125" style="126" hidden="1" customWidth="1"/>
    <col min="24" max="24" width="10.25" style="64" customWidth="1"/>
    <col min="25" max="25" width="7.875" style="122" customWidth="1"/>
    <col min="26" max="26" width="9.625" style="121" customWidth="1"/>
    <col min="27" max="27" width="6.375" style="64" hidden="1" customWidth="1"/>
    <col min="28" max="28" width="6.875" style="64" customWidth="1"/>
    <col min="29" max="29" width="12.25" style="127" customWidth="1"/>
    <col min="30" max="31" width="15.125" style="128" customWidth="1"/>
    <col min="32" max="32" width="26.875" style="129" hidden="1" customWidth="1"/>
    <col min="33" max="33" width="12.125" style="130" hidden="1" customWidth="1"/>
    <col min="34" max="34" width="11.75" style="64" hidden="1" customWidth="1"/>
    <col min="35" max="37" width="7.75" style="64" hidden="1" customWidth="1"/>
    <col min="38" max="38" width="16.625" style="131" bestFit="1" customWidth="1"/>
    <col min="39" max="39" width="15.625" style="131" customWidth="1"/>
    <col min="40" max="40" width="11" style="131" customWidth="1"/>
    <col min="41" max="42" width="7.75" style="64"/>
    <col min="43" max="43" width="46" style="64" bestFit="1" customWidth="1"/>
    <col min="44" max="44" width="10.5" style="64" bestFit="1" customWidth="1"/>
    <col min="45" max="45" width="9.5" style="64" bestFit="1" customWidth="1"/>
    <col min="46" max="48" width="7.75" style="64"/>
    <col min="49" max="49" width="9.375" style="64" bestFit="1" customWidth="1"/>
    <col min="50" max="51" width="7.75" style="64"/>
    <col min="52" max="52" width="11.5" style="64" bestFit="1" customWidth="1"/>
    <col min="53" max="138" width="7.75" style="64"/>
    <col min="139" max="16384" width="7.75" style="1"/>
  </cols>
  <sheetData>
    <row r="1" spans="1:40" s="64" customFormat="1" ht="32.25" customHeight="1">
      <c r="A1" s="274" t="s">
        <v>250</v>
      </c>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63"/>
      <c r="AL1" s="131"/>
      <c r="AM1" s="131"/>
      <c r="AN1" s="131"/>
    </row>
    <row r="2" spans="1:40" s="64" customFormat="1" ht="31.5" customHeight="1">
      <c r="A2" s="275"/>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63"/>
      <c r="AL2" s="131"/>
      <c r="AM2" s="131"/>
      <c r="AN2" s="131"/>
    </row>
    <row r="3" spans="1:40" s="66" customFormat="1" ht="25.5" customHeight="1">
      <c r="A3" s="276" t="s">
        <v>3</v>
      </c>
      <c r="B3" s="279" t="s">
        <v>4</v>
      </c>
      <c r="C3" s="282" t="s">
        <v>41</v>
      </c>
      <c r="D3" s="283"/>
      <c r="E3" s="283"/>
      <c r="F3" s="283"/>
      <c r="G3" s="283"/>
      <c r="H3" s="283"/>
      <c r="I3" s="283"/>
      <c r="J3" s="283"/>
      <c r="K3" s="284"/>
      <c r="L3" s="285" t="s">
        <v>5</v>
      </c>
      <c r="M3" s="288" t="s">
        <v>6</v>
      </c>
      <c r="N3" s="269" t="s">
        <v>7</v>
      </c>
      <c r="O3" s="269" t="s">
        <v>8</v>
      </c>
      <c r="P3" s="292" t="s">
        <v>9</v>
      </c>
      <c r="Q3" s="293"/>
      <c r="R3" s="293"/>
      <c r="S3" s="293"/>
      <c r="T3" s="294"/>
      <c r="U3" s="292" t="s">
        <v>42</v>
      </c>
      <c r="V3" s="293"/>
      <c r="W3" s="293"/>
      <c r="X3" s="293"/>
      <c r="Y3" s="293"/>
      <c r="Z3" s="293"/>
      <c r="AA3" s="293"/>
      <c r="AB3" s="293"/>
      <c r="AC3" s="293"/>
      <c r="AD3" s="294"/>
      <c r="AE3" s="269" t="s">
        <v>10</v>
      </c>
      <c r="AF3" s="298" t="s">
        <v>0</v>
      </c>
      <c r="AG3" s="65"/>
      <c r="AL3" s="132"/>
      <c r="AM3" s="132"/>
      <c r="AN3" s="132"/>
    </row>
    <row r="4" spans="1:40" s="66" customFormat="1" ht="33" customHeight="1">
      <c r="A4" s="277"/>
      <c r="B4" s="280"/>
      <c r="C4" s="282" t="s">
        <v>40</v>
      </c>
      <c r="D4" s="283"/>
      <c r="E4" s="284"/>
      <c r="F4" s="282" t="s">
        <v>11</v>
      </c>
      <c r="G4" s="283"/>
      <c r="H4" s="283"/>
      <c r="I4" s="283"/>
      <c r="J4" s="283"/>
      <c r="K4" s="284"/>
      <c r="L4" s="286"/>
      <c r="M4" s="289"/>
      <c r="N4" s="270"/>
      <c r="O4" s="270"/>
      <c r="P4" s="295"/>
      <c r="Q4" s="296"/>
      <c r="R4" s="296"/>
      <c r="S4" s="296"/>
      <c r="T4" s="297"/>
      <c r="U4" s="295"/>
      <c r="V4" s="296"/>
      <c r="W4" s="296"/>
      <c r="X4" s="296"/>
      <c r="Y4" s="296"/>
      <c r="Z4" s="296"/>
      <c r="AA4" s="296"/>
      <c r="AB4" s="296"/>
      <c r="AC4" s="296"/>
      <c r="AD4" s="297"/>
      <c r="AE4" s="270"/>
      <c r="AF4" s="299"/>
      <c r="AG4" s="65"/>
      <c r="AL4" s="132"/>
      <c r="AM4" s="132"/>
      <c r="AN4" s="132"/>
    </row>
    <row r="5" spans="1:40" s="66" customFormat="1" ht="101.25" customHeight="1">
      <c r="A5" s="278"/>
      <c r="B5" s="281"/>
      <c r="C5" s="67" t="s">
        <v>12</v>
      </c>
      <c r="D5" s="67" t="s">
        <v>13</v>
      </c>
      <c r="E5" s="67" t="s">
        <v>14</v>
      </c>
      <c r="F5" s="67" t="s">
        <v>1</v>
      </c>
      <c r="G5" s="68" t="s">
        <v>15</v>
      </c>
      <c r="H5" s="69" t="s">
        <v>16</v>
      </c>
      <c r="I5" s="68" t="s">
        <v>17</v>
      </c>
      <c r="J5" s="69" t="s">
        <v>18</v>
      </c>
      <c r="K5" s="69" t="s">
        <v>19</v>
      </c>
      <c r="L5" s="287"/>
      <c r="M5" s="290"/>
      <c r="N5" s="291"/>
      <c r="O5" s="291"/>
      <c r="P5" s="69" t="s">
        <v>20</v>
      </c>
      <c r="Q5" s="69" t="s">
        <v>21</v>
      </c>
      <c r="R5" s="69" t="s">
        <v>22</v>
      </c>
      <c r="S5" s="69" t="s">
        <v>23</v>
      </c>
      <c r="T5" s="69" t="s">
        <v>24</v>
      </c>
      <c r="U5" s="67" t="s">
        <v>25</v>
      </c>
      <c r="V5" s="67" t="s">
        <v>156</v>
      </c>
      <c r="W5" s="67" t="s">
        <v>157</v>
      </c>
      <c r="X5" s="67" t="s">
        <v>26</v>
      </c>
      <c r="Y5" s="68" t="s">
        <v>27</v>
      </c>
      <c r="Z5" s="69" t="s">
        <v>28</v>
      </c>
      <c r="AA5" s="67" t="s">
        <v>29</v>
      </c>
      <c r="AB5" s="67" t="s">
        <v>30</v>
      </c>
      <c r="AC5" s="70" t="s">
        <v>31</v>
      </c>
      <c r="AD5" s="69" t="s">
        <v>32</v>
      </c>
      <c r="AE5" s="291"/>
      <c r="AF5" s="300"/>
      <c r="AG5" s="65"/>
      <c r="AL5" s="132" t="s">
        <v>170</v>
      </c>
      <c r="AM5" s="132" t="s">
        <v>186</v>
      </c>
      <c r="AN5" s="132"/>
    </row>
    <row r="6" spans="1:40" s="66" customFormat="1" ht="15" hidden="1" customHeight="1">
      <c r="A6" s="152"/>
      <c r="B6" s="153"/>
      <c r="C6" s="67"/>
      <c r="D6" s="67"/>
      <c r="E6" s="67"/>
      <c r="F6" s="67"/>
      <c r="G6" s="68"/>
      <c r="H6" s="69"/>
      <c r="I6" s="68"/>
      <c r="J6" s="143"/>
      <c r="K6" s="143"/>
      <c r="L6" s="154"/>
      <c r="M6" s="155"/>
      <c r="N6" s="156"/>
      <c r="O6" s="156"/>
      <c r="P6" s="69">
        <v>80000</v>
      </c>
      <c r="Q6" s="69">
        <f>P6*3</f>
        <v>240000</v>
      </c>
      <c r="R6" s="69"/>
      <c r="S6" s="69">
        <f>17000*30</f>
        <v>510000</v>
      </c>
      <c r="T6" s="69"/>
      <c r="U6" s="67"/>
      <c r="V6" s="67"/>
      <c r="W6" s="67"/>
      <c r="X6" s="67"/>
      <c r="Y6" s="68"/>
      <c r="Z6" s="69"/>
      <c r="AA6" s="67"/>
      <c r="AB6" s="67"/>
      <c r="AC6" s="70"/>
      <c r="AD6" s="69"/>
      <c r="AE6" s="156"/>
      <c r="AF6" s="157"/>
      <c r="AG6" s="65"/>
      <c r="AL6" s="132"/>
      <c r="AM6" s="132"/>
      <c r="AN6" s="132"/>
    </row>
    <row r="7" spans="1:40" s="74" customFormat="1" ht="21.75" customHeight="1">
      <c r="A7" s="71">
        <v>1</v>
      </c>
      <c r="B7" s="67">
        <v>2</v>
      </c>
      <c r="C7" s="67">
        <v>3</v>
      </c>
      <c r="D7" s="67">
        <v>4</v>
      </c>
      <c r="E7" s="67">
        <v>5</v>
      </c>
      <c r="F7" s="67">
        <v>6</v>
      </c>
      <c r="G7" s="69">
        <v>7</v>
      </c>
      <c r="H7" s="69"/>
      <c r="I7" s="69">
        <v>8</v>
      </c>
      <c r="J7" s="143">
        <v>9</v>
      </c>
      <c r="K7" s="143">
        <v>10</v>
      </c>
      <c r="L7" s="67"/>
      <c r="M7" s="72" t="s">
        <v>161</v>
      </c>
      <c r="N7" s="69">
        <v>12</v>
      </c>
      <c r="O7" s="69">
        <v>13</v>
      </c>
      <c r="P7" s="69">
        <v>14</v>
      </c>
      <c r="Q7" s="69">
        <v>15</v>
      </c>
      <c r="R7" s="69">
        <v>16</v>
      </c>
      <c r="S7" s="69">
        <v>17</v>
      </c>
      <c r="T7" s="69">
        <v>18</v>
      </c>
      <c r="U7" s="67">
        <v>19</v>
      </c>
      <c r="V7" s="67"/>
      <c r="W7" s="67"/>
      <c r="X7" s="67">
        <v>20</v>
      </c>
      <c r="Y7" s="68">
        <v>21</v>
      </c>
      <c r="Z7" s="69">
        <v>22</v>
      </c>
      <c r="AA7" s="67">
        <v>23</v>
      </c>
      <c r="AB7" s="67">
        <v>24</v>
      </c>
      <c r="AC7" s="70">
        <v>25</v>
      </c>
      <c r="AD7" s="69">
        <v>26</v>
      </c>
      <c r="AE7" s="69" t="s">
        <v>33</v>
      </c>
      <c r="AF7" s="73"/>
      <c r="AG7" s="65"/>
      <c r="AL7" s="133"/>
      <c r="AM7" s="133"/>
      <c r="AN7" s="133"/>
    </row>
    <row r="8" spans="1:40" s="81" customFormat="1" ht="28.5" customHeight="1">
      <c r="A8" s="71"/>
      <c r="B8" s="75" t="s">
        <v>52</v>
      </c>
      <c r="C8" s="67"/>
      <c r="D8" s="67"/>
      <c r="E8" s="67"/>
      <c r="F8" s="67"/>
      <c r="G8" s="68"/>
      <c r="H8" s="69"/>
      <c r="I8" s="68"/>
      <c r="J8" s="76"/>
      <c r="K8" s="76"/>
      <c r="L8" s="69"/>
      <c r="M8" s="77"/>
      <c r="N8" s="69"/>
      <c r="O8" s="69"/>
      <c r="P8" s="69"/>
      <c r="Q8" s="69"/>
      <c r="R8" s="69"/>
      <c r="S8" s="69"/>
      <c r="T8" s="69"/>
      <c r="U8" s="75"/>
      <c r="V8" s="67"/>
      <c r="W8" s="78"/>
      <c r="X8" s="67"/>
      <c r="Y8" s="69"/>
      <c r="Z8" s="69"/>
      <c r="AA8" s="67"/>
      <c r="AB8" s="67"/>
      <c r="AC8" s="70"/>
      <c r="AD8" s="69"/>
      <c r="AE8" s="69"/>
      <c r="AF8" s="79"/>
      <c r="AG8" s="80"/>
      <c r="AL8" s="132" t="s">
        <v>171</v>
      </c>
      <c r="AM8" s="134"/>
      <c r="AN8" s="134"/>
    </row>
    <row r="9" spans="1:40" s="90" customFormat="1" ht="34.5" customHeight="1">
      <c r="A9" s="256">
        <v>1</v>
      </c>
      <c r="B9" s="259" t="s">
        <v>187</v>
      </c>
      <c r="C9" s="262">
        <v>64</v>
      </c>
      <c r="D9" s="262">
        <v>71</v>
      </c>
      <c r="E9" s="262">
        <v>878.73</v>
      </c>
      <c r="F9" s="262" t="s">
        <v>2</v>
      </c>
      <c r="G9" s="265">
        <v>742</v>
      </c>
      <c r="H9" s="262">
        <v>431.4</v>
      </c>
      <c r="I9" s="262">
        <f>E9-G9</f>
        <v>136.73000000000002</v>
      </c>
      <c r="J9" s="265">
        <f>G9+G16</f>
        <v>994</v>
      </c>
      <c r="K9" s="265">
        <f>J9</f>
        <v>994</v>
      </c>
      <c r="L9" s="262"/>
      <c r="M9" s="246">
        <f>J9/K9</f>
        <v>1</v>
      </c>
      <c r="N9" s="252">
        <f>IF(M9&lt;0.1,2,IF(M9&lt;0.2,3,IF(M9&lt;0.3,5,IF(M9&gt;=0.7,12,IF(M9&gt;=0.3,6)))))</f>
        <v>12</v>
      </c>
      <c r="O9" s="249">
        <v>4</v>
      </c>
      <c r="P9" s="249">
        <v>80000</v>
      </c>
      <c r="Q9" s="249">
        <f>J9*P9</f>
        <v>79520000</v>
      </c>
      <c r="R9" s="249">
        <f>Q9*3</f>
        <v>238560000</v>
      </c>
      <c r="S9" s="249">
        <f>N9*O9*S6</f>
        <v>24480000</v>
      </c>
      <c r="T9" s="249">
        <f>SUM(Q9:S17)</f>
        <v>342560000</v>
      </c>
      <c r="U9" s="82" t="s">
        <v>175</v>
      </c>
      <c r="V9" s="144"/>
      <c r="W9" s="160"/>
      <c r="X9" s="83" t="s">
        <v>38</v>
      </c>
      <c r="Y9" s="84">
        <v>518.73</v>
      </c>
      <c r="Z9" s="85">
        <v>180000</v>
      </c>
      <c r="AA9" s="86"/>
      <c r="AB9" s="87">
        <v>1</v>
      </c>
      <c r="AC9" s="88">
        <f t="shared" ref="AC9" si="0">Y9*Z9*AB9</f>
        <v>93371400</v>
      </c>
      <c r="AD9" s="269">
        <f>SUM(AC9:AC17)</f>
        <v>174866400</v>
      </c>
      <c r="AE9" s="269">
        <f>T9+AD9</f>
        <v>517426400</v>
      </c>
      <c r="AF9" s="89" t="s">
        <v>51</v>
      </c>
      <c r="AL9" s="132" t="s">
        <v>171</v>
      </c>
      <c r="AM9" s="135">
        <v>33059004649</v>
      </c>
      <c r="AN9" s="135"/>
    </row>
    <row r="10" spans="1:40" s="90" customFormat="1" ht="22.5" customHeight="1">
      <c r="A10" s="257"/>
      <c r="B10" s="260"/>
      <c r="C10" s="263"/>
      <c r="D10" s="263"/>
      <c r="E10" s="263"/>
      <c r="F10" s="263"/>
      <c r="G10" s="266"/>
      <c r="H10" s="263"/>
      <c r="I10" s="263"/>
      <c r="J10" s="263"/>
      <c r="K10" s="263"/>
      <c r="L10" s="263"/>
      <c r="M10" s="247"/>
      <c r="N10" s="253"/>
      <c r="O10" s="250"/>
      <c r="P10" s="250"/>
      <c r="Q10" s="250"/>
      <c r="R10" s="250"/>
      <c r="S10" s="250"/>
      <c r="T10" s="250"/>
      <c r="U10" s="82" t="s">
        <v>167</v>
      </c>
      <c r="V10" s="144">
        <v>25</v>
      </c>
      <c r="W10" s="160">
        <f>(G9-Y9)/V10</f>
        <v>8.9307999999999996</v>
      </c>
      <c r="X10" s="144" t="s">
        <v>34</v>
      </c>
      <c r="Y10" s="84">
        <v>18</v>
      </c>
      <c r="Z10" s="143"/>
      <c r="AA10" s="144"/>
      <c r="AB10" s="87"/>
      <c r="AC10" s="88"/>
      <c r="AD10" s="270"/>
      <c r="AE10" s="270"/>
      <c r="AF10" s="89"/>
      <c r="AL10" s="132" t="s">
        <v>171</v>
      </c>
      <c r="AM10" s="135"/>
      <c r="AN10" s="135"/>
    </row>
    <row r="11" spans="1:40" s="90" customFormat="1" ht="22.5" customHeight="1">
      <c r="A11" s="257"/>
      <c r="B11" s="260"/>
      <c r="C11" s="263"/>
      <c r="D11" s="263"/>
      <c r="E11" s="263"/>
      <c r="F11" s="263"/>
      <c r="G11" s="266"/>
      <c r="H11" s="263"/>
      <c r="I11" s="263"/>
      <c r="J11" s="263"/>
      <c r="K11" s="263"/>
      <c r="L11" s="264"/>
      <c r="M11" s="247"/>
      <c r="N11" s="253"/>
      <c r="O11" s="250"/>
      <c r="P11" s="250"/>
      <c r="Q11" s="250"/>
      <c r="R11" s="250"/>
      <c r="S11" s="250"/>
      <c r="T11" s="250"/>
      <c r="U11" s="91" t="s">
        <v>158</v>
      </c>
      <c r="V11" s="144"/>
      <c r="W11" s="160"/>
      <c r="X11" s="144" t="s">
        <v>34</v>
      </c>
      <c r="Y11" s="84">
        <v>9</v>
      </c>
      <c r="Z11" s="85">
        <v>3850000</v>
      </c>
      <c r="AA11" s="144"/>
      <c r="AB11" s="87">
        <v>1</v>
      </c>
      <c r="AC11" s="88">
        <f t="shared" ref="AC11:AC18" si="1">Y11*Z11*AB11</f>
        <v>34650000</v>
      </c>
      <c r="AD11" s="270"/>
      <c r="AE11" s="270"/>
      <c r="AF11" s="89"/>
      <c r="AL11" s="132" t="s">
        <v>171</v>
      </c>
      <c r="AM11" s="135"/>
      <c r="AN11" s="135"/>
    </row>
    <row r="12" spans="1:40" s="90" customFormat="1" ht="22.5" customHeight="1">
      <c r="A12" s="257"/>
      <c r="B12" s="260"/>
      <c r="C12" s="263"/>
      <c r="D12" s="263"/>
      <c r="E12" s="263"/>
      <c r="F12" s="263"/>
      <c r="G12" s="266"/>
      <c r="H12" s="263"/>
      <c r="I12" s="263"/>
      <c r="J12" s="263"/>
      <c r="K12" s="263"/>
      <c r="L12" s="147"/>
      <c r="M12" s="247"/>
      <c r="N12" s="253"/>
      <c r="O12" s="250"/>
      <c r="P12" s="250"/>
      <c r="Q12" s="250"/>
      <c r="R12" s="250"/>
      <c r="S12" s="250"/>
      <c r="T12" s="250"/>
      <c r="U12" s="91" t="s">
        <v>164</v>
      </c>
      <c r="V12" s="92"/>
      <c r="W12" s="93">
        <f>W10*0.3</f>
        <v>2.6792399999999996</v>
      </c>
      <c r="X12" s="144" t="s">
        <v>34</v>
      </c>
      <c r="Y12" s="84">
        <v>3</v>
      </c>
      <c r="Z12" s="85">
        <v>3850000</v>
      </c>
      <c r="AA12" s="86"/>
      <c r="AB12" s="87">
        <v>0.5</v>
      </c>
      <c r="AC12" s="88">
        <f t="shared" si="1"/>
        <v>5775000</v>
      </c>
      <c r="AD12" s="270"/>
      <c r="AE12" s="270"/>
      <c r="AF12" s="89"/>
      <c r="AL12" s="132"/>
      <c r="AM12" s="135"/>
      <c r="AN12" s="135"/>
    </row>
    <row r="13" spans="1:40" s="90" customFormat="1" ht="22.5" customHeight="1">
      <c r="A13" s="257"/>
      <c r="B13" s="260"/>
      <c r="C13" s="263"/>
      <c r="D13" s="263"/>
      <c r="E13" s="263"/>
      <c r="F13" s="263"/>
      <c r="G13" s="266"/>
      <c r="H13" s="263"/>
      <c r="I13" s="263"/>
      <c r="J13" s="263"/>
      <c r="K13" s="263"/>
      <c r="L13" s="147"/>
      <c r="M13" s="247"/>
      <c r="N13" s="253"/>
      <c r="O13" s="250"/>
      <c r="P13" s="250"/>
      <c r="Q13" s="250"/>
      <c r="R13" s="250"/>
      <c r="S13" s="250"/>
      <c r="T13" s="250"/>
      <c r="U13" s="91" t="s">
        <v>165</v>
      </c>
      <c r="V13" s="144"/>
      <c r="W13" s="160"/>
      <c r="X13" s="144" t="s">
        <v>34</v>
      </c>
      <c r="Y13" s="84">
        <v>6</v>
      </c>
      <c r="Z13" s="85">
        <v>3850000</v>
      </c>
      <c r="AA13" s="86"/>
      <c r="AB13" s="87">
        <v>0</v>
      </c>
      <c r="AC13" s="88">
        <f t="shared" si="1"/>
        <v>0</v>
      </c>
      <c r="AD13" s="270"/>
      <c r="AE13" s="270"/>
      <c r="AF13" s="89"/>
      <c r="AL13" s="132"/>
      <c r="AM13" s="135"/>
      <c r="AN13" s="135"/>
    </row>
    <row r="14" spans="1:40" s="90" customFormat="1" ht="22.5" customHeight="1">
      <c r="A14" s="257"/>
      <c r="B14" s="260"/>
      <c r="C14" s="263"/>
      <c r="D14" s="263"/>
      <c r="E14" s="263"/>
      <c r="F14" s="263"/>
      <c r="G14" s="266"/>
      <c r="H14" s="263"/>
      <c r="I14" s="263"/>
      <c r="J14" s="263"/>
      <c r="K14" s="263"/>
      <c r="L14" s="144"/>
      <c r="M14" s="247"/>
      <c r="N14" s="253"/>
      <c r="O14" s="250"/>
      <c r="P14" s="250"/>
      <c r="Q14" s="250"/>
      <c r="R14" s="250"/>
      <c r="S14" s="250"/>
      <c r="T14" s="250"/>
      <c r="U14" s="94" t="s">
        <v>226</v>
      </c>
      <c r="V14" s="83" t="s">
        <v>38</v>
      </c>
      <c r="W14" s="95">
        <v>1</v>
      </c>
      <c r="X14" s="144" t="s">
        <v>36</v>
      </c>
      <c r="Y14" s="96"/>
      <c r="Z14" s="97"/>
      <c r="AA14" s="98"/>
      <c r="AB14" s="87">
        <v>0</v>
      </c>
      <c r="AC14" s="88">
        <f t="shared" ref="AC14:AC16" si="2">Y14*Z14*AB14</f>
        <v>0</v>
      </c>
      <c r="AD14" s="270"/>
      <c r="AE14" s="270"/>
      <c r="AF14" s="89"/>
      <c r="AG14" s="143"/>
      <c r="AL14" s="132" t="s">
        <v>171</v>
      </c>
      <c r="AM14" s="135"/>
      <c r="AN14" s="135"/>
    </row>
    <row r="15" spans="1:40" s="90" customFormat="1" ht="53.25" customHeight="1">
      <c r="A15" s="257"/>
      <c r="B15" s="260"/>
      <c r="C15" s="263"/>
      <c r="D15" s="263"/>
      <c r="E15" s="263"/>
      <c r="F15" s="263"/>
      <c r="G15" s="266"/>
      <c r="H15" s="263"/>
      <c r="I15" s="263"/>
      <c r="J15" s="263"/>
      <c r="K15" s="263"/>
      <c r="L15" s="146"/>
      <c r="M15" s="247"/>
      <c r="N15" s="253"/>
      <c r="O15" s="250"/>
      <c r="P15" s="250"/>
      <c r="Q15" s="250"/>
      <c r="R15" s="250"/>
      <c r="S15" s="250"/>
      <c r="T15" s="250"/>
      <c r="U15" s="94" t="s">
        <v>227</v>
      </c>
      <c r="V15" s="95"/>
      <c r="W15" s="95">
        <f>0.11*160</f>
        <v>17.600000000000001</v>
      </c>
      <c r="X15" s="144" t="s">
        <v>38</v>
      </c>
      <c r="Y15" s="84">
        <v>6</v>
      </c>
      <c r="Z15" s="85"/>
      <c r="AA15" s="86"/>
      <c r="AB15" s="87">
        <v>0</v>
      </c>
      <c r="AC15" s="88">
        <f t="shared" si="2"/>
        <v>0</v>
      </c>
      <c r="AD15" s="270"/>
      <c r="AE15" s="270"/>
      <c r="AF15" s="89"/>
      <c r="AL15" s="132" t="s">
        <v>171</v>
      </c>
      <c r="AM15" s="135"/>
      <c r="AN15" s="135"/>
    </row>
    <row r="16" spans="1:40" s="90" customFormat="1" ht="22.5" customHeight="1">
      <c r="A16" s="257"/>
      <c r="B16" s="260"/>
      <c r="C16" s="263"/>
      <c r="D16" s="262">
        <v>732</v>
      </c>
      <c r="E16" s="262">
        <v>264</v>
      </c>
      <c r="F16" s="262" t="s">
        <v>2</v>
      </c>
      <c r="G16" s="265">
        <v>252</v>
      </c>
      <c r="H16" s="262">
        <v>431.4</v>
      </c>
      <c r="I16" s="262">
        <f>E16-G16</f>
        <v>12</v>
      </c>
      <c r="J16" s="263"/>
      <c r="K16" s="263"/>
      <c r="L16" s="146"/>
      <c r="M16" s="247"/>
      <c r="N16" s="253"/>
      <c r="O16" s="250"/>
      <c r="P16" s="250"/>
      <c r="Q16" s="250"/>
      <c r="R16" s="250"/>
      <c r="S16" s="250"/>
      <c r="T16" s="250"/>
      <c r="U16" s="82" t="s">
        <v>175</v>
      </c>
      <c r="V16" s="144"/>
      <c r="W16" s="160"/>
      <c r="X16" s="83" t="s">
        <v>38</v>
      </c>
      <c r="Y16" s="84">
        <v>109</v>
      </c>
      <c r="Z16" s="85">
        <v>180000</v>
      </c>
      <c r="AA16" s="86"/>
      <c r="AB16" s="87">
        <v>1</v>
      </c>
      <c r="AC16" s="88">
        <f t="shared" si="2"/>
        <v>19620000</v>
      </c>
      <c r="AD16" s="270"/>
      <c r="AE16" s="270"/>
      <c r="AF16" s="89"/>
      <c r="AL16" s="132" t="s">
        <v>171</v>
      </c>
      <c r="AM16" s="135"/>
      <c r="AN16" s="135"/>
    </row>
    <row r="17" spans="1:40" s="90" customFormat="1" ht="22.5" customHeight="1">
      <c r="A17" s="257"/>
      <c r="B17" s="260"/>
      <c r="C17" s="263"/>
      <c r="D17" s="263"/>
      <c r="E17" s="263"/>
      <c r="F17" s="263"/>
      <c r="G17" s="266"/>
      <c r="H17" s="263"/>
      <c r="I17" s="263"/>
      <c r="J17" s="263"/>
      <c r="K17" s="263"/>
      <c r="L17" s="146"/>
      <c r="M17" s="247"/>
      <c r="N17" s="253"/>
      <c r="O17" s="250"/>
      <c r="P17" s="250"/>
      <c r="Q17" s="250"/>
      <c r="R17" s="250"/>
      <c r="S17" s="250"/>
      <c r="T17" s="250"/>
      <c r="U17" s="82" t="s">
        <v>188</v>
      </c>
      <c r="V17" s="144"/>
      <c r="W17" s="160"/>
      <c r="X17" s="83" t="s">
        <v>38</v>
      </c>
      <c r="Y17" s="84">
        <v>143</v>
      </c>
      <c r="Z17" s="85">
        <v>150000</v>
      </c>
      <c r="AA17" s="86"/>
      <c r="AB17" s="87">
        <v>1</v>
      </c>
      <c r="AC17" s="88">
        <f t="shared" ref="AC17" si="3">Y17*Z17*AB17</f>
        <v>21450000</v>
      </c>
      <c r="AD17" s="270"/>
      <c r="AE17" s="270"/>
      <c r="AF17" s="89"/>
      <c r="AL17" s="132"/>
      <c r="AM17" s="135"/>
      <c r="AN17" s="135"/>
    </row>
    <row r="18" spans="1:40" s="90" customFormat="1" ht="22.5" customHeight="1">
      <c r="A18" s="256">
        <v>2</v>
      </c>
      <c r="B18" s="259" t="s">
        <v>190</v>
      </c>
      <c r="C18" s="262">
        <v>62</v>
      </c>
      <c r="D18" s="262">
        <v>238</v>
      </c>
      <c r="E18" s="262">
        <v>474.6</v>
      </c>
      <c r="F18" s="262" t="s">
        <v>2</v>
      </c>
      <c r="G18" s="265">
        <v>475</v>
      </c>
      <c r="H18" s="301"/>
      <c r="I18" s="243">
        <f>E18-G18</f>
        <v>-0.39999999999997726</v>
      </c>
      <c r="J18" s="243">
        <f>G18+G23</f>
        <v>1555</v>
      </c>
      <c r="K18" s="243">
        <f>J18+J27</f>
        <v>1555</v>
      </c>
      <c r="L18" s="243"/>
      <c r="M18" s="246">
        <f>J18/K18</f>
        <v>1</v>
      </c>
      <c r="N18" s="249">
        <f>IF(M18&lt;0.1,2,IF(M18&lt;0.2,3,IF(M18&lt;0.3,5,IF(M18&gt;=0.7,12,IF(M18&gt;=0.3,6)))))</f>
        <v>12</v>
      </c>
      <c r="O18" s="252">
        <v>4</v>
      </c>
      <c r="P18" s="252">
        <v>80000</v>
      </c>
      <c r="Q18" s="252">
        <f>(J18+J27)*P18</f>
        <v>124400000</v>
      </c>
      <c r="R18" s="252">
        <f>Q18*3</f>
        <v>373200000</v>
      </c>
      <c r="S18" s="252">
        <f>N18*O18*S6</f>
        <v>24480000</v>
      </c>
      <c r="T18" s="252">
        <f>SUM(Q18:S27)</f>
        <v>522080000</v>
      </c>
      <c r="U18" s="82" t="s">
        <v>184</v>
      </c>
      <c r="V18" s="144">
        <v>20</v>
      </c>
      <c r="W18" s="160">
        <f>G18/V18</f>
        <v>23.75</v>
      </c>
      <c r="X18" s="144" t="s">
        <v>34</v>
      </c>
      <c r="Y18" s="84">
        <v>15</v>
      </c>
      <c r="Z18" s="143"/>
      <c r="AA18" s="144"/>
      <c r="AB18" s="87"/>
      <c r="AC18" s="88">
        <f t="shared" si="1"/>
        <v>0</v>
      </c>
      <c r="AD18" s="240">
        <f>SUM(AC18:AC27)</f>
        <v>243500000</v>
      </c>
      <c r="AE18" s="240">
        <f>T18+AD18+AD27</f>
        <v>765580000</v>
      </c>
      <c r="AF18" s="99" t="s">
        <v>180</v>
      </c>
      <c r="AL18" s="132" t="s">
        <v>171</v>
      </c>
      <c r="AM18" s="135">
        <v>33071005890</v>
      </c>
      <c r="AN18" s="135"/>
    </row>
    <row r="19" spans="1:40" s="90" customFormat="1" ht="22.5" customHeight="1">
      <c r="A19" s="257"/>
      <c r="B19" s="260"/>
      <c r="C19" s="263"/>
      <c r="D19" s="263"/>
      <c r="E19" s="263"/>
      <c r="F19" s="263"/>
      <c r="G19" s="266"/>
      <c r="H19" s="302"/>
      <c r="I19" s="244"/>
      <c r="J19" s="244"/>
      <c r="K19" s="244"/>
      <c r="L19" s="244"/>
      <c r="M19" s="247"/>
      <c r="N19" s="250"/>
      <c r="O19" s="253"/>
      <c r="P19" s="253"/>
      <c r="Q19" s="253"/>
      <c r="R19" s="253"/>
      <c r="S19" s="253"/>
      <c r="T19" s="253"/>
      <c r="U19" s="91" t="s">
        <v>158</v>
      </c>
      <c r="V19" s="144"/>
      <c r="W19" s="160"/>
      <c r="X19" s="144" t="s">
        <v>34</v>
      </c>
      <c r="Y19" s="84">
        <v>15</v>
      </c>
      <c r="Z19" s="143">
        <v>2500000</v>
      </c>
      <c r="AA19" s="144"/>
      <c r="AB19" s="87">
        <v>1</v>
      </c>
      <c r="AC19" s="88">
        <f>Y19*Z19*AB19</f>
        <v>37500000</v>
      </c>
      <c r="AD19" s="241"/>
      <c r="AE19" s="241"/>
      <c r="AF19" s="86"/>
      <c r="AL19" s="132" t="s">
        <v>171</v>
      </c>
      <c r="AM19" s="135"/>
      <c r="AN19" s="135"/>
    </row>
    <row r="20" spans="1:40" s="90" customFormat="1" ht="22.5" customHeight="1">
      <c r="A20" s="257"/>
      <c r="B20" s="260"/>
      <c r="C20" s="263"/>
      <c r="D20" s="263"/>
      <c r="E20" s="263"/>
      <c r="F20" s="263"/>
      <c r="G20" s="266"/>
      <c r="H20" s="302"/>
      <c r="I20" s="244"/>
      <c r="J20" s="244"/>
      <c r="K20" s="244"/>
      <c r="L20" s="244"/>
      <c r="M20" s="247"/>
      <c r="N20" s="250"/>
      <c r="O20" s="253"/>
      <c r="P20" s="253"/>
      <c r="Q20" s="253"/>
      <c r="R20" s="253"/>
      <c r="S20" s="253"/>
      <c r="T20" s="253"/>
      <c r="U20" s="100" t="s">
        <v>185</v>
      </c>
      <c r="V20" s="92"/>
      <c r="W20" s="93"/>
      <c r="X20" s="144" t="s">
        <v>34</v>
      </c>
      <c r="Y20" s="84">
        <v>10</v>
      </c>
      <c r="Z20" s="143"/>
      <c r="AA20" s="86"/>
      <c r="AB20" s="87"/>
      <c r="AC20" s="88">
        <f t="shared" ref="AC20:AC22" si="4">Y20*Z20*AB20</f>
        <v>0</v>
      </c>
      <c r="AD20" s="241"/>
      <c r="AE20" s="241"/>
      <c r="AF20" s="86"/>
      <c r="AL20" s="132" t="s">
        <v>171</v>
      </c>
      <c r="AM20" s="135"/>
      <c r="AN20" s="135"/>
    </row>
    <row r="21" spans="1:40" s="90" customFormat="1" ht="22.5" customHeight="1">
      <c r="A21" s="257"/>
      <c r="B21" s="260"/>
      <c r="C21" s="263"/>
      <c r="D21" s="263"/>
      <c r="E21" s="263"/>
      <c r="F21" s="263"/>
      <c r="G21" s="266"/>
      <c r="H21" s="302"/>
      <c r="I21" s="244"/>
      <c r="J21" s="244"/>
      <c r="K21" s="244"/>
      <c r="L21" s="244"/>
      <c r="M21" s="247"/>
      <c r="N21" s="250"/>
      <c r="O21" s="253"/>
      <c r="P21" s="253"/>
      <c r="Q21" s="253"/>
      <c r="R21" s="253"/>
      <c r="S21" s="253"/>
      <c r="T21" s="253"/>
      <c r="U21" s="91" t="s">
        <v>158</v>
      </c>
      <c r="V21" s="144"/>
      <c r="W21" s="160"/>
      <c r="X21" s="144" t="s">
        <v>34</v>
      </c>
      <c r="Y21" s="84">
        <v>9</v>
      </c>
      <c r="Z21" s="143">
        <v>1800000</v>
      </c>
      <c r="AA21" s="144"/>
      <c r="AB21" s="87">
        <v>1</v>
      </c>
      <c r="AC21" s="88">
        <f>Y21*Z21*AB21</f>
        <v>16200000</v>
      </c>
      <c r="AD21" s="241"/>
      <c r="AE21" s="241"/>
      <c r="AF21" s="86"/>
      <c r="AL21" s="132"/>
      <c r="AM21" s="135"/>
      <c r="AN21" s="135"/>
    </row>
    <row r="22" spans="1:40" s="90" customFormat="1" ht="22.5" customHeight="1">
      <c r="A22" s="257"/>
      <c r="B22" s="260"/>
      <c r="C22" s="263"/>
      <c r="D22" s="263"/>
      <c r="E22" s="263"/>
      <c r="F22" s="263"/>
      <c r="G22" s="266"/>
      <c r="H22" s="302"/>
      <c r="I22" s="244"/>
      <c r="J22" s="244"/>
      <c r="K22" s="244"/>
      <c r="L22" s="244"/>
      <c r="M22" s="247"/>
      <c r="N22" s="250"/>
      <c r="O22" s="253"/>
      <c r="P22" s="253"/>
      <c r="Q22" s="253"/>
      <c r="R22" s="253"/>
      <c r="S22" s="253"/>
      <c r="T22" s="253"/>
      <c r="U22" s="91" t="s">
        <v>164</v>
      </c>
      <c r="V22" s="144"/>
      <c r="W22" s="160">
        <f>W18*0.3</f>
        <v>7.125</v>
      </c>
      <c r="X22" s="144" t="s">
        <v>34</v>
      </c>
      <c r="Y22" s="84">
        <v>1</v>
      </c>
      <c r="Z22" s="143">
        <v>1800000</v>
      </c>
      <c r="AA22" s="86"/>
      <c r="AB22" s="87">
        <v>0.5</v>
      </c>
      <c r="AC22" s="88">
        <f t="shared" si="4"/>
        <v>900000</v>
      </c>
      <c r="AD22" s="241"/>
      <c r="AE22" s="241"/>
      <c r="AF22" s="86"/>
      <c r="AL22" s="132" t="s">
        <v>171</v>
      </c>
      <c r="AM22" s="135"/>
      <c r="AN22" s="135"/>
    </row>
    <row r="23" spans="1:40" s="90" customFormat="1" ht="22.5" customHeight="1">
      <c r="A23" s="257"/>
      <c r="B23" s="260"/>
      <c r="C23" s="263"/>
      <c r="D23" s="262">
        <v>237</v>
      </c>
      <c r="E23" s="262">
        <v>1080.0999999999999</v>
      </c>
      <c r="F23" s="262" t="s">
        <v>2</v>
      </c>
      <c r="G23" s="265">
        <v>1080</v>
      </c>
      <c r="H23" s="151"/>
      <c r="I23" s="243">
        <f>E23-G23</f>
        <v>9.9999999999909051E-2</v>
      </c>
      <c r="J23" s="244"/>
      <c r="K23" s="244"/>
      <c r="L23" s="139"/>
      <c r="M23" s="247"/>
      <c r="N23" s="250"/>
      <c r="O23" s="253"/>
      <c r="P23" s="253"/>
      <c r="Q23" s="253"/>
      <c r="R23" s="253"/>
      <c r="S23" s="253"/>
      <c r="T23" s="253"/>
      <c r="U23" s="82" t="s">
        <v>162</v>
      </c>
      <c r="V23" s="144">
        <v>25</v>
      </c>
      <c r="W23" s="160">
        <f>G23/V23</f>
        <v>43.2</v>
      </c>
      <c r="X23" s="144" t="s">
        <v>34</v>
      </c>
      <c r="Y23" s="84">
        <v>30</v>
      </c>
      <c r="Z23" s="85"/>
      <c r="AA23" s="86"/>
      <c r="AB23" s="87"/>
      <c r="AC23" s="88"/>
      <c r="AD23" s="241"/>
      <c r="AE23" s="241"/>
      <c r="AF23" s="99" t="s">
        <v>181</v>
      </c>
      <c r="AL23" s="132" t="s">
        <v>171</v>
      </c>
      <c r="AM23" s="135"/>
      <c r="AN23" s="135"/>
    </row>
    <row r="24" spans="1:40" s="90" customFormat="1" ht="22.5" customHeight="1">
      <c r="A24" s="257"/>
      <c r="B24" s="260"/>
      <c r="C24" s="263"/>
      <c r="D24" s="263"/>
      <c r="E24" s="263"/>
      <c r="F24" s="263"/>
      <c r="G24" s="266"/>
      <c r="H24" s="151"/>
      <c r="I24" s="244"/>
      <c r="J24" s="244"/>
      <c r="K24" s="244"/>
      <c r="L24" s="139"/>
      <c r="M24" s="247"/>
      <c r="N24" s="250"/>
      <c r="O24" s="253"/>
      <c r="P24" s="253"/>
      <c r="Q24" s="253"/>
      <c r="R24" s="253"/>
      <c r="S24" s="253"/>
      <c r="T24" s="253"/>
      <c r="U24" s="91" t="s">
        <v>158</v>
      </c>
      <c r="V24" s="92"/>
      <c r="W24" s="93"/>
      <c r="X24" s="83" t="s">
        <v>38</v>
      </c>
      <c r="Y24" s="84">
        <v>30</v>
      </c>
      <c r="Z24" s="143">
        <v>4500000</v>
      </c>
      <c r="AA24" s="144"/>
      <c r="AB24" s="87">
        <v>1</v>
      </c>
      <c r="AC24" s="88">
        <f>Y24*Z24*AB24</f>
        <v>135000000</v>
      </c>
      <c r="AD24" s="241"/>
      <c r="AE24" s="241"/>
      <c r="AF24" s="86"/>
      <c r="AL24" s="132"/>
      <c r="AM24" s="135"/>
      <c r="AN24" s="135"/>
    </row>
    <row r="25" spans="1:40" s="90" customFormat="1" ht="22.5" customHeight="1">
      <c r="A25" s="257"/>
      <c r="B25" s="260"/>
      <c r="C25" s="263"/>
      <c r="D25" s="263"/>
      <c r="E25" s="263"/>
      <c r="F25" s="263"/>
      <c r="G25" s="266"/>
      <c r="H25" s="151"/>
      <c r="I25" s="244"/>
      <c r="J25" s="244"/>
      <c r="K25" s="244"/>
      <c r="L25" s="139"/>
      <c r="M25" s="247"/>
      <c r="N25" s="250"/>
      <c r="O25" s="253"/>
      <c r="P25" s="253"/>
      <c r="Q25" s="253"/>
      <c r="R25" s="253"/>
      <c r="S25" s="253"/>
      <c r="T25" s="253"/>
      <c r="U25" s="82" t="s">
        <v>167</v>
      </c>
      <c r="V25" s="144"/>
      <c r="W25" s="160"/>
      <c r="X25" s="144" t="s">
        <v>34</v>
      </c>
      <c r="Y25" s="84">
        <v>15</v>
      </c>
      <c r="Z25" s="85"/>
      <c r="AA25" s="86"/>
      <c r="AB25" s="87"/>
      <c r="AC25" s="88"/>
      <c r="AD25" s="241"/>
      <c r="AE25" s="241"/>
      <c r="AF25" s="86"/>
      <c r="AL25" s="132"/>
      <c r="AM25" s="135"/>
      <c r="AN25" s="135"/>
    </row>
    <row r="26" spans="1:40" s="90" customFormat="1" ht="22.5" customHeight="1">
      <c r="A26" s="257"/>
      <c r="B26" s="260"/>
      <c r="C26" s="263"/>
      <c r="D26" s="263"/>
      <c r="E26" s="263"/>
      <c r="F26" s="263"/>
      <c r="G26" s="266"/>
      <c r="H26" s="151"/>
      <c r="I26" s="244"/>
      <c r="J26" s="244"/>
      <c r="K26" s="244"/>
      <c r="L26" s="139"/>
      <c r="M26" s="247"/>
      <c r="N26" s="250"/>
      <c r="O26" s="253"/>
      <c r="P26" s="253"/>
      <c r="Q26" s="253"/>
      <c r="R26" s="253"/>
      <c r="S26" s="253"/>
      <c r="T26" s="253"/>
      <c r="U26" s="91" t="s">
        <v>158</v>
      </c>
      <c r="V26" s="92"/>
      <c r="W26" s="93"/>
      <c r="X26" s="144" t="s">
        <v>34</v>
      </c>
      <c r="Y26" s="84">
        <v>13</v>
      </c>
      <c r="Z26" s="85">
        <v>3850000</v>
      </c>
      <c r="AA26" s="86"/>
      <c r="AB26" s="87">
        <v>1</v>
      </c>
      <c r="AC26" s="88">
        <f t="shared" ref="AC26:AC27" si="5">Y26*Z26*AB26</f>
        <v>50050000</v>
      </c>
      <c r="AD26" s="241"/>
      <c r="AE26" s="241"/>
      <c r="AF26" s="86"/>
      <c r="AL26" s="132"/>
      <c r="AM26" s="135"/>
      <c r="AN26" s="135"/>
    </row>
    <row r="27" spans="1:40" s="90" customFormat="1" ht="22.5" customHeight="1">
      <c r="A27" s="258"/>
      <c r="B27" s="261"/>
      <c r="C27" s="264"/>
      <c r="D27" s="264"/>
      <c r="E27" s="264"/>
      <c r="F27" s="264"/>
      <c r="G27" s="267"/>
      <c r="H27" s="160"/>
      <c r="I27" s="245"/>
      <c r="J27" s="245"/>
      <c r="K27" s="245"/>
      <c r="L27" s="101"/>
      <c r="M27" s="248"/>
      <c r="N27" s="251"/>
      <c r="O27" s="254"/>
      <c r="P27" s="254"/>
      <c r="Q27" s="254"/>
      <c r="R27" s="254"/>
      <c r="S27" s="254"/>
      <c r="T27" s="254"/>
      <c r="U27" s="91" t="s">
        <v>164</v>
      </c>
      <c r="V27" s="144"/>
      <c r="W27" s="160"/>
      <c r="X27" s="144" t="s">
        <v>34</v>
      </c>
      <c r="Y27" s="84">
        <v>2</v>
      </c>
      <c r="Z27" s="85">
        <v>3850000</v>
      </c>
      <c r="AA27" s="86"/>
      <c r="AB27" s="87">
        <v>0.5</v>
      </c>
      <c r="AC27" s="88">
        <f t="shared" si="5"/>
        <v>3850000</v>
      </c>
      <c r="AD27" s="242"/>
      <c r="AE27" s="242"/>
      <c r="AF27" s="86"/>
      <c r="AL27" s="132" t="s">
        <v>171</v>
      </c>
      <c r="AM27" s="135"/>
      <c r="AN27" s="135"/>
    </row>
    <row r="28" spans="1:40" s="90" customFormat="1" ht="22.5" customHeight="1">
      <c r="A28" s="256">
        <v>3</v>
      </c>
      <c r="B28" s="259" t="s">
        <v>191</v>
      </c>
      <c r="C28" s="262">
        <v>64</v>
      </c>
      <c r="D28" s="262">
        <v>35</v>
      </c>
      <c r="E28" s="262">
        <v>1344.8</v>
      </c>
      <c r="F28" s="262" t="s">
        <v>2</v>
      </c>
      <c r="G28" s="265">
        <v>1385</v>
      </c>
      <c r="H28" s="301"/>
      <c r="I28" s="243">
        <f>E28-G28</f>
        <v>-40.200000000000045</v>
      </c>
      <c r="J28" s="243">
        <f>G28+G46</f>
        <v>1385</v>
      </c>
      <c r="K28" s="243">
        <f>J28+J49</f>
        <v>1385</v>
      </c>
      <c r="L28" s="243"/>
      <c r="M28" s="246">
        <f>J28/K28</f>
        <v>1</v>
      </c>
      <c r="N28" s="249">
        <f>IF(M28&lt;0.1,2,IF(M28&lt;0.2,3,IF(M28&lt;0.3,5,IF(M28&gt;=0.7,12,IF(M28&gt;=0.3,6)))))</f>
        <v>12</v>
      </c>
      <c r="O28" s="252">
        <v>7</v>
      </c>
      <c r="P28" s="252">
        <v>80000</v>
      </c>
      <c r="Q28" s="252">
        <f>(J28+J49)*P28</f>
        <v>110800000</v>
      </c>
      <c r="R28" s="252">
        <f>Q28*3</f>
        <v>332400000</v>
      </c>
      <c r="S28" s="252">
        <f>N28*O28*S6</f>
        <v>42840000</v>
      </c>
      <c r="T28" s="252">
        <f>SUM(Q28:S49)</f>
        <v>486040000</v>
      </c>
      <c r="U28" s="82" t="s">
        <v>162</v>
      </c>
      <c r="V28" s="144">
        <v>25</v>
      </c>
      <c r="W28" s="160">
        <f>(G28-W44-W45-W47-W48-W49)/V28</f>
        <v>54.68</v>
      </c>
      <c r="X28" s="144" t="s">
        <v>34</v>
      </c>
      <c r="Y28" s="84">
        <v>15</v>
      </c>
      <c r="Z28" s="143"/>
      <c r="AA28" s="144"/>
      <c r="AB28" s="87"/>
      <c r="AC28" s="88"/>
      <c r="AD28" s="240">
        <f>SUM(AC28:AC49)</f>
        <v>212700000</v>
      </c>
      <c r="AE28" s="240">
        <f>T28+AD28+AD49</f>
        <v>698740000</v>
      </c>
      <c r="AF28" s="99" t="s">
        <v>182</v>
      </c>
      <c r="AL28" s="132" t="s">
        <v>171</v>
      </c>
      <c r="AM28" s="135">
        <v>33156003770</v>
      </c>
      <c r="AN28" s="135"/>
    </row>
    <row r="29" spans="1:40" s="90" customFormat="1" ht="22.5" customHeight="1">
      <c r="A29" s="257"/>
      <c r="B29" s="260"/>
      <c r="C29" s="263"/>
      <c r="D29" s="263"/>
      <c r="E29" s="263"/>
      <c r="F29" s="263"/>
      <c r="G29" s="266"/>
      <c r="H29" s="302"/>
      <c r="I29" s="244"/>
      <c r="J29" s="244"/>
      <c r="K29" s="244"/>
      <c r="L29" s="244"/>
      <c r="M29" s="247"/>
      <c r="N29" s="250"/>
      <c r="O29" s="253"/>
      <c r="P29" s="253"/>
      <c r="Q29" s="253"/>
      <c r="R29" s="253"/>
      <c r="S29" s="253"/>
      <c r="T29" s="253"/>
      <c r="U29" s="91" t="s">
        <v>158</v>
      </c>
      <c r="V29" s="144"/>
      <c r="W29" s="160"/>
      <c r="X29" s="144" t="s">
        <v>34</v>
      </c>
      <c r="Y29" s="84">
        <v>15</v>
      </c>
      <c r="Z29" s="143">
        <v>4500000</v>
      </c>
      <c r="AA29" s="144"/>
      <c r="AB29" s="87">
        <v>1</v>
      </c>
      <c r="AC29" s="88">
        <f>Y29*Z29*AB29</f>
        <v>67500000</v>
      </c>
      <c r="AD29" s="241"/>
      <c r="AE29" s="241"/>
      <c r="AF29" s="86"/>
      <c r="AL29" s="132" t="s">
        <v>171</v>
      </c>
      <c r="AM29" s="135"/>
      <c r="AN29" s="135"/>
    </row>
    <row r="30" spans="1:40" s="90" customFormat="1" ht="22.5" customHeight="1">
      <c r="A30" s="257"/>
      <c r="B30" s="260"/>
      <c r="C30" s="263"/>
      <c r="D30" s="263"/>
      <c r="E30" s="263"/>
      <c r="F30" s="263"/>
      <c r="G30" s="266"/>
      <c r="H30" s="302"/>
      <c r="I30" s="244"/>
      <c r="J30" s="244"/>
      <c r="K30" s="244"/>
      <c r="L30" s="244"/>
      <c r="M30" s="247"/>
      <c r="N30" s="250"/>
      <c r="O30" s="253"/>
      <c r="P30" s="253"/>
      <c r="Q30" s="253"/>
      <c r="R30" s="253"/>
      <c r="S30" s="253"/>
      <c r="T30" s="253"/>
      <c r="U30" s="82" t="s">
        <v>167</v>
      </c>
      <c r="V30" s="144"/>
      <c r="W30" s="160"/>
      <c r="X30" s="144" t="s">
        <v>34</v>
      </c>
      <c r="Y30" s="84">
        <v>10</v>
      </c>
      <c r="Z30" s="143"/>
      <c r="AA30" s="86"/>
      <c r="AB30" s="87"/>
      <c r="AC30" s="88"/>
      <c r="AD30" s="241"/>
      <c r="AE30" s="241"/>
      <c r="AF30" s="86"/>
      <c r="AL30" s="132"/>
      <c r="AM30" s="135"/>
      <c r="AN30" s="135"/>
    </row>
    <row r="31" spans="1:40" s="90" customFormat="1" ht="22.5" customHeight="1">
      <c r="A31" s="257"/>
      <c r="B31" s="260"/>
      <c r="C31" s="263"/>
      <c r="D31" s="263"/>
      <c r="E31" s="263"/>
      <c r="F31" s="263"/>
      <c r="G31" s="266"/>
      <c r="H31" s="302"/>
      <c r="I31" s="244"/>
      <c r="J31" s="244"/>
      <c r="K31" s="244"/>
      <c r="L31" s="244"/>
      <c r="M31" s="247"/>
      <c r="N31" s="250"/>
      <c r="O31" s="253"/>
      <c r="P31" s="253"/>
      <c r="Q31" s="253"/>
      <c r="R31" s="253"/>
      <c r="S31" s="253"/>
      <c r="T31" s="253"/>
      <c r="U31" s="91" t="s">
        <v>158</v>
      </c>
      <c r="V31" s="144"/>
      <c r="W31" s="160"/>
      <c r="X31" s="144" t="s">
        <v>34</v>
      </c>
      <c r="Y31" s="84">
        <v>10</v>
      </c>
      <c r="Z31" s="85">
        <v>3850000</v>
      </c>
      <c r="AA31" s="86"/>
      <c r="AB31" s="87">
        <v>1</v>
      </c>
      <c r="AC31" s="88">
        <f t="shared" ref="AC31" si="6">Y31*Z31*AB31</f>
        <v>38500000</v>
      </c>
      <c r="AD31" s="241"/>
      <c r="AE31" s="241"/>
      <c r="AF31" s="86"/>
      <c r="AL31" s="132"/>
      <c r="AM31" s="135"/>
      <c r="AN31" s="135"/>
    </row>
    <row r="32" spans="1:40" s="90" customFormat="1" ht="22.5" customHeight="1">
      <c r="A32" s="257"/>
      <c r="B32" s="260"/>
      <c r="C32" s="263"/>
      <c r="D32" s="263"/>
      <c r="E32" s="263"/>
      <c r="F32" s="263"/>
      <c r="G32" s="266"/>
      <c r="H32" s="302"/>
      <c r="I32" s="244"/>
      <c r="J32" s="244"/>
      <c r="K32" s="244"/>
      <c r="L32" s="244"/>
      <c r="M32" s="247"/>
      <c r="N32" s="250"/>
      <c r="O32" s="253"/>
      <c r="P32" s="253"/>
      <c r="Q32" s="253"/>
      <c r="R32" s="253"/>
      <c r="S32" s="253"/>
      <c r="T32" s="253"/>
      <c r="U32" s="100" t="s">
        <v>192</v>
      </c>
      <c r="V32" s="144"/>
      <c r="W32" s="160"/>
      <c r="X32" s="144" t="s">
        <v>34</v>
      </c>
      <c r="Y32" s="84">
        <v>5</v>
      </c>
      <c r="Z32" s="143"/>
      <c r="AA32" s="86"/>
      <c r="AB32" s="87"/>
      <c r="AC32" s="88"/>
      <c r="AD32" s="241"/>
      <c r="AE32" s="241"/>
      <c r="AF32" s="86"/>
      <c r="AL32" s="132"/>
      <c r="AM32" s="135"/>
      <c r="AN32" s="135"/>
    </row>
    <row r="33" spans="1:40" s="90" customFormat="1" ht="22.5" customHeight="1">
      <c r="A33" s="257"/>
      <c r="B33" s="260"/>
      <c r="C33" s="263"/>
      <c r="D33" s="263"/>
      <c r="E33" s="263"/>
      <c r="F33" s="263"/>
      <c r="G33" s="266"/>
      <c r="H33" s="302"/>
      <c r="I33" s="244"/>
      <c r="J33" s="244"/>
      <c r="K33" s="244"/>
      <c r="L33" s="244"/>
      <c r="M33" s="247"/>
      <c r="N33" s="250"/>
      <c r="O33" s="253"/>
      <c r="P33" s="253"/>
      <c r="Q33" s="253"/>
      <c r="R33" s="253"/>
      <c r="S33" s="253"/>
      <c r="T33" s="253"/>
      <c r="U33" s="91" t="s">
        <v>158</v>
      </c>
      <c r="V33" s="144"/>
      <c r="W33" s="160"/>
      <c r="X33" s="144" t="s">
        <v>34</v>
      </c>
      <c r="Y33" s="84">
        <v>5</v>
      </c>
      <c r="Z33" s="85">
        <v>3750000</v>
      </c>
      <c r="AA33" s="86"/>
      <c r="AB33" s="87">
        <v>1</v>
      </c>
      <c r="AC33" s="88">
        <f t="shared" ref="AC33:AC45" si="7">Y33*Z33*AB33</f>
        <v>18750000</v>
      </c>
      <c r="AD33" s="241"/>
      <c r="AE33" s="241"/>
      <c r="AF33" s="86"/>
      <c r="AL33" s="132"/>
      <c r="AM33" s="135"/>
      <c r="AN33" s="135"/>
    </row>
    <row r="34" spans="1:40" s="90" customFormat="1" ht="36.75" customHeight="1">
      <c r="A34" s="257"/>
      <c r="B34" s="260"/>
      <c r="C34" s="263"/>
      <c r="D34" s="263"/>
      <c r="E34" s="263"/>
      <c r="F34" s="263"/>
      <c r="G34" s="266"/>
      <c r="H34" s="302"/>
      <c r="I34" s="244"/>
      <c r="J34" s="244"/>
      <c r="K34" s="244"/>
      <c r="L34" s="244"/>
      <c r="M34" s="247"/>
      <c r="N34" s="250"/>
      <c r="O34" s="253"/>
      <c r="P34" s="253"/>
      <c r="Q34" s="253"/>
      <c r="R34" s="253"/>
      <c r="S34" s="253"/>
      <c r="T34" s="253"/>
      <c r="U34" s="100" t="s">
        <v>193</v>
      </c>
      <c r="V34" s="92">
        <v>20</v>
      </c>
      <c r="W34" s="93">
        <f>(G28-W44-W45-W47-W48-W49)/V34</f>
        <v>68.349999999999994</v>
      </c>
      <c r="X34" s="144" t="s">
        <v>34</v>
      </c>
      <c r="Y34" s="84">
        <v>50</v>
      </c>
      <c r="Z34" s="143"/>
      <c r="AA34" s="86"/>
      <c r="AB34" s="87"/>
      <c r="AC34" s="88"/>
      <c r="AD34" s="241"/>
      <c r="AE34" s="241"/>
      <c r="AF34" s="86"/>
      <c r="AL34" s="132"/>
      <c r="AM34" s="135"/>
      <c r="AN34" s="135"/>
    </row>
    <row r="35" spans="1:40" s="90" customFormat="1" ht="22.5" customHeight="1">
      <c r="A35" s="257"/>
      <c r="B35" s="260"/>
      <c r="C35" s="263"/>
      <c r="D35" s="263"/>
      <c r="E35" s="263"/>
      <c r="F35" s="263"/>
      <c r="G35" s="266"/>
      <c r="H35" s="302"/>
      <c r="I35" s="244"/>
      <c r="J35" s="244"/>
      <c r="K35" s="244"/>
      <c r="L35" s="244"/>
      <c r="M35" s="247"/>
      <c r="N35" s="250"/>
      <c r="O35" s="253"/>
      <c r="P35" s="253"/>
      <c r="Q35" s="253"/>
      <c r="R35" s="253"/>
      <c r="S35" s="253"/>
      <c r="T35" s="253"/>
      <c r="U35" s="91" t="s">
        <v>158</v>
      </c>
      <c r="V35" s="144"/>
      <c r="W35" s="160"/>
      <c r="X35" s="144" t="s">
        <v>34</v>
      </c>
      <c r="Y35" s="84">
        <v>50</v>
      </c>
      <c r="Z35" s="143">
        <v>2500000</v>
      </c>
      <c r="AA35" s="86"/>
      <c r="AB35" s="87">
        <v>0.5</v>
      </c>
      <c r="AC35" s="88">
        <f t="shared" si="7"/>
        <v>62500000</v>
      </c>
      <c r="AD35" s="241"/>
      <c r="AE35" s="241"/>
      <c r="AF35" s="86"/>
      <c r="AL35" s="132"/>
      <c r="AM35" s="135"/>
      <c r="AN35" s="135"/>
    </row>
    <row r="36" spans="1:40" s="90" customFormat="1" ht="31.5">
      <c r="A36" s="257"/>
      <c r="B36" s="260"/>
      <c r="C36" s="263"/>
      <c r="D36" s="263"/>
      <c r="E36" s="263"/>
      <c r="F36" s="263"/>
      <c r="G36" s="266"/>
      <c r="H36" s="302"/>
      <c r="I36" s="244"/>
      <c r="J36" s="244"/>
      <c r="K36" s="244"/>
      <c r="L36" s="244"/>
      <c r="M36" s="247"/>
      <c r="N36" s="250"/>
      <c r="O36" s="253"/>
      <c r="P36" s="253"/>
      <c r="Q36" s="253"/>
      <c r="R36" s="253"/>
      <c r="S36" s="253"/>
      <c r="T36" s="253"/>
      <c r="U36" s="82" t="s">
        <v>194</v>
      </c>
      <c r="V36" s="144"/>
      <c r="W36" s="160"/>
      <c r="X36" s="144" t="s">
        <v>34</v>
      </c>
      <c r="Y36" s="84">
        <v>30</v>
      </c>
      <c r="Z36" s="85"/>
      <c r="AA36" s="86"/>
      <c r="AB36" s="87"/>
      <c r="AC36" s="88"/>
      <c r="AD36" s="241"/>
      <c r="AE36" s="241"/>
      <c r="AF36" s="86"/>
      <c r="AL36" s="132"/>
      <c r="AM36" s="135"/>
      <c r="AN36" s="135"/>
    </row>
    <row r="37" spans="1:40" s="90" customFormat="1" ht="20.25" customHeight="1">
      <c r="A37" s="257"/>
      <c r="B37" s="260"/>
      <c r="C37" s="263"/>
      <c r="D37" s="263"/>
      <c r="E37" s="263"/>
      <c r="F37" s="263"/>
      <c r="G37" s="266"/>
      <c r="H37" s="302"/>
      <c r="I37" s="244"/>
      <c r="J37" s="244"/>
      <c r="K37" s="244"/>
      <c r="L37" s="244"/>
      <c r="M37" s="247"/>
      <c r="N37" s="250"/>
      <c r="O37" s="253"/>
      <c r="P37" s="253"/>
      <c r="Q37" s="253"/>
      <c r="R37" s="253"/>
      <c r="S37" s="253"/>
      <c r="T37" s="253"/>
      <c r="U37" s="91" t="s">
        <v>158</v>
      </c>
      <c r="V37" s="92"/>
      <c r="W37" s="93"/>
      <c r="X37" s="144" t="s">
        <v>34</v>
      </c>
      <c r="Y37" s="84">
        <v>18</v>
      </c>
      <c r="Z37" s="143">
        <v>1800000</v>
      </c>
      <c r="AA37" s="144"/>
      <c r="AB37" s="87">
        <v>0.5</v>
      </c>
      <c r="AC37" s="88">
        <f>Y37*Z37*AB37</f>
        <v>16200000</v>
      </c>
      <c r="AD37" s="241"/>
      <c r="AE37" s="241"/>
      <c r="AF37" s="86"/>
      <c r="AL37" s="132"/>
      <c r="AM37" s="135"/>
      <c r="AN37" s="135"/>
    </row>
    <row r="38" spans="1:40" s="90" customFormat="1" ht="20.25" customHeight="1">
      <c r="A38" s="257"/>
      <c r="B38" s="260"/>
      <c r="C38" s="263"/>
      <c r="D38" s="263"/>
      <c r="E38" s="263"/>
      <c r="F38" s="263"/>
      <c r="G38" s="266"/>
      <c r="H38" s="302"/>
      <c r="I38" s="244"/>
      <c r="J38" s="244"/>
      <c r="K38" s="244"/>
      <c r="L38" s="244"/>
      <c r="M38" s="247"/>
      <c r="N38" s="250"/>
      <c r="O38" s="253"/>
      <c r="P38" s="253"/>
      <c r="Q38" s="253"/>
      <c r="R38" s="253"/>
      <c r="S38" s="253"/>
      <c r="T38" s="253"/>
      <c r="U38" s="91" t="s">
        <v>165</v>
      </c>
      <c r="V38" s="84"/>
      <c r="W38" s="84"/>
      <c r="X38" s="144" t="s">
        <v>34</v>
      </c>
      <c r="Y38" s="84">
        <v>12</v>
      </c>
      <c r="Z38" s="143">
        <v>1800000</v>
      </c>
      <c r="AA38" s="144"/>
      <c r="AB38" s="87">
        <v>0</v>
      </c>
      <c r="AC38" s="88">
        <f>Y38*Z38*AB38</f>
        <v>0</v>
      </c>
      <c r="AD38" s="241"/>
      <c r="AE38" s="241"/>
      <c r="AF38" s="86"/>
      <c r="AL38" s="132"/>
      <c r="AM38" s="135"/>
      <c r="AN38" s="135"/>
    </row>
    <row r="39" spans="1:40" s="90" customFormat="1" ht="31.5" customHeight="1">
      <c r="A39" s="257"/>
      <c r="B39" s="260"/>
      <c r="C39" s="263"/>
      <c r="D39" s="263"/>
      <c r="E39" s="263"/>
      <c r="F39" s="263"/>
      <c r="G39" s="266"/>
      <c r="H39" s="302"/>
      <c r="I39" s="244"/>
      <c r="J39" s="244"/>
      <c r="K39" s="244"/>
      <c r="L39" s="244"/>
      <c r="M39" s="247"/>
      <c r="N39" s="250"/>
      <c r="O39" s="253"/>
      <c r="P39" s="253"/>
      <c r="Q39" s="253"/>
      <c r="R39" s="253"/>
      <c r="S39" s="253"/>
      <c r="T39" s="253"/>
      <c r="U39" s="100" t="s">
        <v>195</v>
      </c>
      <c r="V39" s="92">
        <v>25</v>
      </c>
      <c r="W39" s="93">
        <f>(G28-W44-W45-W47-W48-W49)/V39</f>
        <v>54.68</v>
      </c>
      <c r="X39" s="144" t="s">
        <v>34</v>
      </c>
      <c r="Y39" s="84">
        <v>10</v>
      </c>
      <c r="Z39" s="143"/>
      <c r="AA39" s="144"/>
      <c r="AB39" s="87"/>
      <c r="AC39" s="88"/>
      <c r="AD39" s="241"/>
      <c r="AE39" s="241"/>
      <c r="AF39" s="86"/>
      <c r="AL39" s="132"/>
      <c r="AM39" s="135"/>
      <c r="AN39" s="135"/>
    </row>
    <row r="40" spans="1:40" s="90" customFormat="1" ht="20.25" customHeight="1">
      <c r="A40" s="257"/>
      <c r="B40" s="260"/>
      <c r="C40" s="263"/>
      <c r="D40" s="263"/>
      <c r="E40" s="263"/>
      <c r="F40" s="263"/>
      <c r="G40" s="266"/>
      <c r="H40" s="302"/>
      <c r="I40" s="244"/>
      <c r="J40" s="244"/>
      <c r="K40" s="244"/>
      <c r="L40" s="244"/>
      <c r="M40" s="247"/>
      <c r="N40" s="250"/>
      <c r="O40" s="253"/>
      <c r="P40" s="253"/>
      <c r="Q40" s="253"/>
      <c r="R40" s="253"/>
      <c r="S40" s="253"/>
      <c r="T40" s="253"/>
      <c r="U40" s="91" t="s">
        <v>158</v>
      </c>
      <c r="V40" s="144"/>
      <c r="W40" s="160"/>
      <c r="X40" s="144" t="s">
        <v>34</v>
      </c>
      <c r="Y40" s="84">
        <v>10</v>
      </c>
      <c r="Z40" s="143">
        <v>1500000</v>
      </c>
      <c r="AA40" s="86"/>
      <c r="AB40" s="87">
        <v>0.5</v>
      </c>
      <c r="AC40" s="88">
        <f t="shared" ref="AC40" si="8">Y40*Z40*AB40</f>
        <v>7500000</v>
      </c>
      <c r="AD40" s="241"/>
      <c r="AE40" s="241"/>
      <c r="AF40" s="86"/>
      <c r="AL40" s="132"/>
      <c r="AM40" s="135"/>
      <c r="AN40" s="135"/>
    </row>
    <row r="41" spans="1:40" s="90" customFormat="1" ht="31.5">
      <c r="A41" s="257"/>
      <c r="B41" s="260"/>
      <c r="C41" s="263"/>
      <c r="D41" s="263"/>
      <c r="E41" s="263"/>
      <c r="F41" s="263"/>
      <c r="G41" s="266"/>
      <c r="H41" s="302"/>
      <c r="I41" s="244"/>
      <c r="J41" s="244"/>
      <c r="K41" s="244"/>
      <c r="L41" s="244"/>
      <c r="M41" s="247"/>
      <c r="N41" s="250"/>
      <c r="O41" s="253"/>
      <c r="P41" s="253"/>
      <c r="Q41" s="253"/>
      <c r="R41" s="253"/>
      <c r="S41" s="253"/>
      <c r="T41" s="253"/>
      <c r="U41" s="100" t="s">
        <v>196</v>
      </c>
      <c r="V41" s="144">
        <f>10000/400</f>
        <v>25</v>
      </c>
      <c r="W41" s="160">
        <f>J28/V41</f>
        <v>55.4</v>
      </c>
      <c r="X41" s="144" t="s">
        <v>34</v>
      </c>
      <c r="Y41" s="84">
        <v>7</v>
      </c>
      <c r="Z41" s="143"/>
      <c r="AA41" s="86"/>
      <c r="AB41" s="87"/>
      <c r="AC41" s="88"/>
      <c r="AD41" s="241"/>
      <c r="AE41" s="241"/>
      <c r="AF41" s="86"/>
      <c r="AL41" s="132"/>
      <c r="AM41" s="135"/>
      <c r="AN41" s="135"/>
    </row>
    <row r="42" spans="1:40" s="90" customFormat="1" ht="22.5" customHeight="1">
      <c r="A42" s="257"/>
      <c r="B42" s="260"/>
      <c r="C42" s="263"/>
      <c r="D42" s="263"/>
      <c r="E42" s="263"/>
      <c r="F42" s="263"/>
      <c r="G42" s="266"/>
      <c r="H42" s="302"/>
      <c r="I42" s="244"/>
      <c r="J42" s="244"/>
      <c r="K42" s="244"/>
      <c r="L42" s="244"/>
      <c r="M42" s="247"/>
      <c r="N42" s="250"/>
      <c r="O42" s="253"/>
      <c r="P42" s="253"/>
      <c r="Q42" s="253"/>
      <c r="R42" s="253"/>
      <c r="S42" s="253"/>
      <c r="T42" s="253"/>
      <c r="U42" s="91" t="s">
        <v>158</v>
      </c>
      <c r="V42" s="144"/>
      <c r="W42" s="160"/>
      <c r="X42" s="144" t="s">
        <v>34</v>
      </c>
      <c r="Y42" s="84">
        <v>7</v>
      </c>
      <c r="Z42" s="143">
        <v>500000</v>
      </c>
      <c r="AA42" s="86"/>
      <c r="AB42" s="87">
        <v>0.5</v>
      </c>
      <c r="AC42" s="88">
        <f t="shared" ref="AC42" si="9">Y42*Z42*AB42</f>
        <v>1750000</v>
      </c>
      <c r="AD42" s="241"/>
      <c r="AE42" s="241"/>
      <c r="AF42" s="86"/>
      <c r="AL42" s="132"/>
      <c r="AM42" s="135"/>
      <c r="AN42" s="135"/>
    </row>
    <row r="43" spans="1:40" s="90" customFormat="1" ht="22.5" customHeight="1">
      <c r="A43" s="257"/>
      <c r="B43" s="260"/>
      <c r="C43" s="263"/>
      <c r="D43" s="263"/>
      <c r="E43" s="263"/>
      <c r="F43" s="263"/>
      <c r="G43" s="266"/>
      <c r="H43" s="302"/>
      <c r="I43" s="244"/>
      <c r="J43" s="244"/>
      <c r="K43" s="244"/>
      <c r="L43" s="244"/>
      <c r="M43" s="247"/>
      <c r="N43" s="250"/>
      <c r="O43" s="253"/>
      <c r="P43" s="253"/>
      <c r="Q43" s="253"/>
      <c r="R43" s="253"/>
      <c r="S43" s="253"/>
      <c r="T43" s="253"/>
      <c r="U43" s="82" t="s">
        <v>228</v>
      </c>
      <c r="V43" s="84"/>
      <c r="W43" s="84"/>
      <c r="X43" s="144" t="s">
        <v>36</v>
      </c>
      <c r="Y43" s="84">
        <v>1</v>
      </c>
      <c r="Z43" s="143"/>
      <c r="AA43" s="86"/>
      <c r="AB43" s="87">
        <v>0</v>
      </c>
      <c r="AC43" s="88">
        <f t="shared" ref="AC43" si="10">Y43*Z43*AB43</f>
        <v>0</v>
      </c>
      <c r="AD43" s="241"/>
      <c r="AE43" s="241"/>
      <c r="AF43" s="86"/>
      <c r="AL43" s="132"/>
      <c r="AM43" s="135"/>
      <c r="AN43" s="135"/>
    </row>
    <row r="44" spans="1:40" s="90" customFormat="1" ht="36.75" customHeight="1">
      <c r="A44" s="257"/>
      <c r="B44" s="260"/>
      <c r="C44" s="263"/>
      <c r="D44" s="263"/>
      <c r="E44" s="263"/>
      <c r="F44" s="263"/>
      <c r="G44" s="266"/>
      <c r="H44" s="302"/>
      <c r="I44" s="244"/>
      <c r="J44" s="244"/>
      <c r="K44" s="244"/>
      <c r="L44" s="244"/>
      <c r="M44" s="247"/>
      <c r="N44" s="250"/>
      <c r="O44" s="253"/>
      <c r="P44" s="253"/>
      <c r="Q44" s="253"/>
      <c r="R44" s="253"/>
      <c r="S44" s="253"/>
      <c r="T44" s="253"/>
      <c r="U44" s="94" t="s">
        <v>229</v>
      </c>
      <c r="V44" s="84"/>
      <c r="W44" s="84">
        <v>6</v>
      </c>
      <c r="X44" s="83" t="s">
        <v>38</v>
      </c>
      <c r="Y44" s="95">
        <v>6</v>
      </c>
      <c r="Z44" s="143"/>
      <c r="AA44" s="86"/>
      <c r="AB44" s="87">
        <v>0</v>
      </c>
      <c r="AC44" s="88">
        <f t="shared" si="7"/>
        <v>0</v>
      </c>
      <c r="AD44" s="241"/>
      <c r="AE44" s="241"/>
      <c r="AF44" s="86"/>
      <c r="AL44" s="132"/>
      <c r="AM44" s="135"/>
      <c r="AN44" s="135"/>
    </row>
    <row r="45" spans="1:40" s="90" customFormat="1" ht="54" customHeight="1">
      <c r="A45" s="257"/>
      <c r="B45" s="260"/>
      <c r="C45" s="263"/>
      <c r="D45" s="263"/>
      <c r="E45" s="263"/>
      <c r="F45" s="263"/>
      <c r="G45" s="266"/>
      <c r="H45" s="302"/>
      <c r="I45" s="244"/>
      <c r="J45" s="244"/>
      <c r="K45" s="244"/>
      <c r="L45" s="244"/>
      <c r="M45" s="247"/>
      <c r="N45" s="250"/>
      <c r="O45" s="253"/>
      <c r="P45" s="253"/>
      <c r="Q45" s="253"/>
      <c r="R45" s="253"/>
      <c r="S45" s="253"/>
      <c r="T45" s="253"/>
      <c r="U45" s="99" t="s">
        <v>230</v>
      </c>
      <c r="V45" s="84"/>
      <c r="W45" s="84"/>
      <c r="X45" s="83" t="s">
        <v>38</v>
      </c>
      <c r="Y45" s="95">
        <v>200</v>
      </c>
      <c r="Z45" s="143"/>
      <c r="AA45" s="86"/>
      <c r="AB45" s="87">
        <v>0</v>
      </c>
      <c r="AC45" s="88">
        <f t="shared" si="7"/>
        <v>0</v>
      </c>
      <c r="AD45" s="241"/>
      <c r="AE45" s="241"/>
      <c r="AF45" s="86"/>
      <c r="AL45" s="132" t="s">
        <v>171</v>
      </c>
      <c r="AM45" s="135"/>
      <c r="AN45" s="135"/>
    </row>
    <row r="46" spans="1:40" s="90" customFormat="1" ht="21.75" customHeight="1">
      <c r="A46" s="257"/>
      <c r="B46" s="260"/>
      <c r="C46" s="263"/>
      <c r="D46" s="263"/>
      <c r="E46" s="263"/>
      <c r="F46" s="263"/>
      <c r="G46" s="266"/>
      <c r="H46" s="151"/>
      <c r="I46" s="244"/>
      <c r="J46" s="244"/>
      <c r="K46" s="244"/>
      <c r="L46" s="139"/>
      <c r="M46" s="247"/>
      <c r="N46" s="250"/>
      <c r="O46" s="253"/>
      <c r="P46" s="253"/>
      <c r="Q46" s="253"/>
      <c r="R46" s="253"/>
      <c r="S46" s="253"/>
      <c r="T46" s="253"/>
      <c r="U46" s="99" t="s">
        <v>231</v>
      </c>
      <c r="V46" s="144"/>
      <c r="W46" s="160"/>
      <c r="X46" s="83" t="s">
        <v>38</v>
      </c>
      <c r="Y46" s="95">
        <v>5.98</v>
      </c>
      <c r="Z46" s="85"/>
      <c r="AA46" s="86"/>
      <c r="AB46" s="87">
        <v>0</v>
      </c>
      <c r="AC46" s="88">
        <f>Y46*Z46*AB46</f>
        <v>0</v>
      </c>
      <c r="AD46" s="241"/>
      <c r="AE46" s="241"/>
      <c r="AF46" s="99"/>
      <c r="AL46" s="132" t="s">
        <v>171</v>
      </c>
      <c r="AM46" s="135"/>
      <c r="AN46" s="135"/>
    </row>
    <row r="47" spans="1:40" s="90" customFormat="1" ht="58.5" customHeight="1">
      <c r="A47" s="257"/>
      <c r="B47" s="260"/>
      <c r="C47" s="263"/>
      <c r="D47" s="263"/>
      <c r="E47" s="263"/>
      <c r="F47" s="263"/>
      <c r="G47" s="266"/>
      <c r="H47" s="151"/>
      <c r="I47" s="244"/>
      <c r="J47" s="244"/>
      <c r="K47" s="244"/>
      <c r="L47" s="139"/>
      <c r="M47" s="247"/>
      <c r="N47" s="250"/>
      <c r="O47" s="253"/>
      <c r="P47" s="253"/>
      <c r="Q47" s="253"/>
      <c r="R47" s="253"/>
      <c r="S47" s="253"/>
      <c r="T47" s="253"/>
      <c r="U47" s="99" t="s">
        <v>232</v>
      </c>
      <c r="V47" s="92"/>
      <c r="W47" s="93"/>
      <c r="X47" s="83" t="s">
        <v>38</v>
      </c>
      <c r="Y47" s="95">
        <v>55</v>
      </c>
      <c r="Z47" s="143"/>
      <c r="AA47" s="144"/>
      <c r="AB47" s="87">
        <v>0</v>
      </c>
      <c r="AC47" s="88">
        <f>Y47*Z47*AB47</f>
        <v>0</v>
      </c>
      <c r="AD47" s="241"/>
      <c r="AE47" s="241"/>
      <c r="AF47" s="86"/>
      <c r="AL47" s="132"/>
      <c r="AM47" s="135"/>
      <c r="AN47" s="135"/>
    </row>
    <row r="48" spans="1:40" s="90" customFormat="1" ht="48.75" customHeight="1">
      <c r="A48" s="257"/>
      <c r="B48" s="260"/>
      <c r="C48" s="263"/>
      <c r="D48" s="263"/>
      <c r="E48" s="263"/>
      <c r="F48" s="263"/>
      <c r="G48" s="266"/>
      <c r="H48" s="151"/>
      <c r="I48" s="244"/>
      <c r="J48" s="244"/>
      <c r="K48" s="244"/>
      <c r="L48" s="139"/>
      <c r="M48" s="247"/>
      <c r="N48" s="250"/>
      <c r="O48" s="253"/>
      <c r="P48" s="253"/>
      <c r="Q48" s="253"/>
      <c r="R48" s="253"/>
      <c r="S48" s="253"/>
      <c r="T48" s="253"/>
      <c r="U48" s="99" t="s">
        <v>233</v>
      </c>
      <c r="V48" s="144"/>
      <c r="W48" s="160"/>
      <c r="X48" s="83" t="s">
        <v>38</v>
      </c>
      <c r="Y48" s="95">
        <v>70</v>
      </c>
      <c r="Z48" s="85"/>
      <c r="AA48" s="86"/>
      <c r="AB48" s="87">
        <v>0</v>
      </c>
      <c r="AC48" s="88">
        <f>Y48*Z48*AB48</f>
        <v>0</v>
      </c>
      <c r="AD48" s="241"/>
      <c r="AE48" s="241"/>
      <c r="AF48" s="86"/>
      <c r="AL48" s="132"/>
      <c r="AM48" s="135"/>
      <c r="AN48" s="135"/>
    </row>
    <row r="49" spans="1:40" s="90" customFormat="1" ht="58.5" customHeight="1">
      <c r="A49" s="258"/>
      <c r="B49" s="261"/>
      <c r="C49" s="264"/>
      <c r="D49" s="264"/>
      <c r="E49" s="264"/>
      <c r="F49" s="264"/>
      <c r="G49" s="267"/>
      <c r="H49" s="160"/>
      <c r="I49" s="245"/>
      <c r="J49" s="245"/>
      <c r="K49" s="245"/>
      <c r="L49" s="101"/>
      <c r="M49" s="248"/>
      <c r="N49" s="251"/>
      <c r="O49" s="254"/>
      <c r="P49" s="254"/>
      <c r="Q49" s="254"/>
      <c r="R49" s="254"/>
      <c r="S49" s="254"/>
      <c r="T49" s="254"/>
      <c r="U49" s="99" t="s">
        <v>234</v>
      </c>
      <c r="V49" s="92"/>
      <c r="W49" s="93">
        <v>12</v>
      </c>
      <c r="X49" s="83" t="s">
        <v>239</v>
      </c>
      <c r="Y49" s="95">
        <v>12</v>
      </c>
      <c r="Z49" s="143"/>
      <c r="AA49" s="144"/>
      <c r="AB49" s="87">
        <v>0</v>
      </c>
      <c r="AC49" s="88">
        <f>Y49*Z49*AB49</f>
        <v>0</v>
      </c>
      <c r="AD49" s="242"/>
      <c r="AE49" s="242"/>
      <c r="AF49" s="86"/>
      <c r="AL49" s="132" t="s">
        <v>171</v>
      </c>
      <c r="AM49" s="135"/>
      <c r="AN49" s="135"/>
    </row>
    <row r="50" spans="1:40" s="90" customFormat="1" ht="39.75" customHeight="1">
      <c r="A50" s="256">
        <v>4</v>
      </c>
      <c r="B50" s="259" t="s">
        <v>225</v>
      </c>
      <c r="C50" s="262">
        <v>64</v>
      </c>
      <c r="D50" s="262">
        <v>50</v>
      </c>
      <c r="E50" s="262">
        <v>233.2</v>
      </c>
      <c r="F50" s="262" t="s">
        <v>2</v>
      </c>
      <c r="G50" s="265">
        <v>234</v>
      </c>
      <c r="H50" s="160"/>
      <c r="I50" s="243">
        <f>E50-G50</f>
        <v>-0.80000000000001137</v>
      </c>
      <c r="J50" s="252">
        <f>G50</f>
        <v>234</v>
      </c>
      <c r="K50" s="243">
        <v>1825</v>
      </c>
      <c r="L50" s="86"/>
      <c r="M50" s="246">
        <f>J50/K50</f>
        <v>0.12821917808219177</v>
      </c>
      <c r="N50" s="249">
        <f>IF(M50&lt;0.1,2,IF(M50&lt;0.2,3,IF(M50&lt;0.3,5,IF(M50&gt;=0.7,12,IF(M50&gt;=0.3,6)))))</f>
        <v>3</v>
      </c>
      <c r="O50" s="252">
        <v>4</v>
      </c>
      <c r="P50" s="252">
        <v>80000</v>
      </c>
      <c r="Q50" s="252">
        <f>J50*P50</f>
        <v>18720000</v>
      </c>
      <c r="R50" s="252">
        <f>Q50*3</f>
        <v>56160000</v>
      </c>
      <c r="S50" s="252">
        <f>N50*O50*S6</f>
        <v>6120000</v>
      </c>
      <c r="T50" s="255">
        <f>SUM(Q50:S54)</f>
        <v>81000000</v>
      </c>
      <c r="U50" s="100" t="s">
        <v>197</v>
      </c>
      <c r="V50" s="92">
        <v>20</v>
      </c>
      <c r="W50" s="93">
        <f>J50/V50</f>
        <v>11.7</v>
      </c>
      <c r="X50" s="144" t="s">
        <v>34</v>
      </c>
      <c r="Y50" s="84">
        <v>8</v>
      </c>
      <c r="Z50" s="143"/>
      <c r="AA50" s="86"/>
      <c r="AB50" s="87"/>
      <c r="AC50" s="88"/>
      <c r="AD50" s="240">
        <f>SUM(AC50:AC54)</f>
        <v>35000000</v>
      </c>
      <c r="AE50" s="240">
        <f>T50+AD50</f>
        <v>116000000</v>
      </c>
      <c r="AF50" s="99" t="s">
        <v>183</v>
      </c>
      <c r="AL50" s="132" t="s">
        <v>171</v>
      </c>
      <c r="AM50" s="135"/>
      <c r="AN50" s="135"/>
    </row>
    <row r="51" spans="1:40" s="90" customFormat="1" ht="24.75" customHeight="1">
      <c r="A51" s="257"/>
      <c r="B51" s="260"/>
      <c r="C51" s="263"/>
      <c r="D51" s="263"/>
      <c r="E51" s="263"/>
      <c r="F51" s="263"/>
      <c r="G51" s="266"/>
      <c r="H51" s="160"/>
      <c r="I51" s="244"/>
      <c r="J51" s="253"/>
      <c r="K51" s="244"/>
      <c r="L51" s="86"/>
      <c r="M51" s="247"/>
      <c r="N51" s="250"/>
      <c r="O51" s="253"/>
      <c r="P51" s="253"/>
      <c r="Q51" s="253"/>
      <c r="R51" s="253"/>
      <c r="S51" s="253"/>
      <c r="T51" s="255"/>
      <c r="U51" s="91" t="s">
        <v>158</v>
      </c>
      <c r="V51" s="92"/>
      <c r="W51" s="93"/>
      <c r="X51" s="144" t="s">
        <v>34</v>
      </c>
      <c r="Y51" s="84">
        <v>8</v>
      </c>
      <c r="Z51" s="143">
        <v>2500000</v>
      </c>
      <c r="AA51" s="86"/>
      <c r="AB51" s="87">
        <v>1</v>
      </c>
      <c r="AC51" s="88">
        <f>Y51*Z51*AB51</f>
        <v>20000000</v>
      </c>
      <c r="AD51" s="241"/>
      <c r="AE51" s="241"/>
      <c r="AF51" s="86"/>
      <c r="AL51" s="132" t="s">
        <v>171</v>
      </c>
      <c r="AM51" s="135"/>
      <c r="AN51" s="135"/>
    </row>
    <row r="52" spans="1:40" s="90" customFormat="1" ht="24.75" customHeight="1">
      <c r="A52" s="257"/>
      <c r="B52" s="260"/>
      <c r="C52" s="263"/>
      <c r="D52" s="263"/>
      <c r="E52" s="263"/>
      <c r="F52" s="263"/>
      <c r="G52" s="266"/>
      <c r="H52" s="160"/>
      <c r="I52" s="244"/>
      <c r="J52" s="253"/>
      <c r="K52" s="244"/>
      <c r="L52" s="86"/>
      <c r="M52" s="247"/>
      <c r="N52" s="250"/>
      <c r="O52" s="253"/>
      <c r="P52" s="253"/>
      <c r="Q52" s="253"/>
      <c r="R52" s="253"/>
      <c r="S52" s="253"/>
      <c r="T52" s="255"/>
      <c r="U52" s="100" t="s">
        <v>185</v>
      </c>
      <c r="V52" s="92"/>
      <c r="W52" s="93"/>
      <c r="X52" s="144" t="s">
        <v>34</v>
      </c>
      <c r="Y52" s="84">
        <v>8</v>
      </c>
      <c r="Z52" s="143"/>
      <c r="AA52" s="86"/>
      <c r="AB52" s="87"/>
      <c r="AC52" s="88"/>
      <c r="AD52" s="241"/>
      <c r="AE52" s="241"/>
      <c r="AF52" s="86"/>
      <c r="AL52" s="132" t="s">
        <v>171</v>
      </c>
      <c r="AM52" s="135"/>
      <c r="AN52" s="135"/>
    </row>
    <row r="53" spans="1:40" s="90" customFormat="1" ht="24.75" customHeight="1">
      <c r="A53" s="257"/>
      <c r="B53" s="260"/>
      <c r="C53" s="263"/>
      <c r="D53" s="263"/>
      <c r="E53" s="263"/>
      <c r="F53" s="263"/>
      <c r="G53" s="266"/>
      <c r="H53" s="160"/>
      <c r="I53" s="244"/>
      <c r="J53" s="253"/>
      <c r="K53" s="244"/>
      <c r="L53" s="86"/>
      <c r="M53" s="247"/>
      <c r="N53" s="250"/>
      <c r="O53" s="253"/>
      <c r="P53" s="253"/>
      <c r="Q53" s="253"/>
      <c r="R53" s="253"/>
      <c r="S53" s="253"/>
      <c r="T53" s="255"/>
      <c r="U53" s="91" t="s">
        <v>158</v>
      </c>
      <c r="V53" s="92"/>
      <c r="W53" s="93"/>
      <c r="X53" s="144" t="s">
        <v>34</v>
      </c>
      <c r="Y53" s="84">
        <v>4</v>
      </c>
      <c r="Z53" s="143">
        <v>2500000</v>
      </c>
      <c r="AA53" s="86"/>
      <c r="AB53" s="87">
        <v>1</v>
      </c>
      <c r="AC53" s="88">
        <f>Y53*Z53*AB53</f>
        <v>10000000</v>
      </c>
      <c r="AD53" s="241"/>
      <c r="AE53" s="241"/>
      <c r="AF53" s="86"/>
      <c r="AL53" s="132"/>
      <c r="AM53" s="135"/>
      <c r="AN53" s="135"/>
    </row>
    <row r="54" spans="1:40" s="90" customFormat="1" ht="24.75" customHeight="1">
      <c r="A54" s="258"/>
      <c r="B54" s="261"/>
      <c r="C54" s="264"/>
      <c r="D54" s="264"/>
      <c r="E54" s="264"/>
      <c r="F54" s="264"/>
      <c r="G54" s="267"/>
      <c r="H54" s="160"/>
      <c r="I54" s="245"/>
      <c r="J54" s="254"/>
      <c r="K54" s="245"/>
      <c r="L54" s="86"/>
      <c r="M54" s="248"/>
      <c r="N54" s="251"/>
      <c r="O54" s="254"/>
      <c r="P54" s="254"/>
      <c r="Q54" s="254"/>
      <c r="R54" s="254"/>
      <c r="S54" s="254"/>
      <c r="T54" s="268"/>
      <c r="U54" s="91" t="s">
        <v>164</v>
      </c>
      <c r="V54" s="92"/>
      <c r="W54" s="93">
        <f>W50*0.3</f>
        <v>3.51</v>
      </c>
      <c r="X54" s="144" t="s">
        <v>34</v>
      </c>
      <c r="Y54" s="84">
        <v>4</v>
      </c>
      <c r="Z54" s="143">
        <v>2500000</v>
      </c>
      <c r="AA54" s="86"/>
      <c r="AB54" s="87">
        <v>0.5</v>
      </c>
      <c r="AC54" s="88">
        <f>Y54*Z54*AB54</f>
        <v>5000000</v>
      </c>
      <c r="AD54" s="241"/>
      <c r="AE54" s="241"/>
      <c r="AF54" s="86"/>
      <c r="AL54" s="132" t="s">
        <v>171</v>
      </c>
      <c r="AM54" s="135"/>
      <c r="AN54" s="135"/>
    </row>
    <row r="55" spans="1:40" s="90" customFormat="1" ht="27" customHeight="1">
      <c r="A55" s="256">
        <v>5</v>
      </c>
      <c r="B55" s="259" t="s">
        <v>189</v>
      </c>
      <c r="C55" s="262">
        <v>64</v>
      </c>
      <c r="D55" s="262">
        <v>47</v>
      </c>
      <c r="E55" s="262">
        <v>144.1</v>
      </c>
      <c r="F55" s="262" t="s">
        <v>2</v>
      </c>
      <c r="G55" s="265">
        <v>137</v>
      </c>
      <c r="H55" s="301"/>
      <c r="I55" s="243">
        <f>E55-G55</f>
        <v>7.0999999999999943</v>
      </c>
      <c r="J55" s="243">
        <f>G55+G61</f>
        <v>137</v>
      </c>
      <c r="K55" s="243">
        <v>1368</v>
      </c>
      <c r="L55" s="243"/>
      <c r="M55" s="246">
        <f>J55/K55</f>
        <v>0.10014619883040936</v>
      </c>
      <c r="N55" s="249">
        <f>IF(M55&lt;0.1,2,IF(M55&lt;0.2,3,IF(M55&lt;0.3,5,IF(M55&gt;=0.7,12,IF(M55&gt;=0.3,6)))))</f>
        <v>3</v>
      </c>
      <c r="O55" s="252">
        <v>6</v>
      </c>
      <c r="P55" s="252">
        <v>80000</v>
      </c>
      <c r="Q55" s="252">
        <f>(J55+J61)*P55</f>
        <v>10960000</v>
      </c>
      <c r="R55" s="252">
        <f>Q55*3</f>
        <v>32880000</v>
      </c>
      <c r="S55" s="252">
        <f>N55*O55*S6</f>
        <v>9180000</v>
      </c>
      <c r="T55" s="252">
        <f>SUM(Q55:S61)</f>
        <v>53020000</v>
      </c>
      <c r="U55" s="82" t="s">
        <v>177</v>
      </c>
      <c r="V55" s="144">
        <v>20</v>
      </c>
      <c r="W55" s="160">
        <f>J55/V55</f>
        <v>6.85</v>
      </c>
      <c r="X55" s="144" t="s">
        <v>34</v>
      </c>
      <c r="Y55" s="84">
        <v>10</v>
      </c>
      <c r="Z55" s="143"/>
      <c r="AA55" s="144"/>
      <c r="AB55" s="87"/>
      <c r="AC55" s="88">
        <f t="shared" ref="AC55" si="11">Y55*Z55*AB55</f>
        <v>0</v>
      </c>
      <c r="AD55" s="240">
        <f>SUM(AC55:AC61)</f>
        <v>18850000</v>
      </c>
      <c r="AE55" s="240">
        <f>T55+AD55+AD61</f>
        <v>71870000</v>
      </c>
      <c r="AF55" s="89" t="s">
        <v>176</v>
      </c>
      <c r="AL55" s="132" t="s">
        <v>171</v>
      </c>
      <c r="AM55" s="135"/>
      <c r="AN55" s="135"/>
    </row>
    <row r="56" spans="1:40" s="90" customFormat="1" ht="27" customHeight="1">
      <c r="A56" s="257"/>
      <c r="B56" s="260"/>
      <c r="C56" s="263"/>
      <c r="D56" s="263"/>
      <c r="E56" s="263"/>
      <c r="F56" s="263"/>
      <c r="G56" s="266"/>
      <c r="H56" s="302"/>
      <c r="I56" s="244"/>
      <c r="J56" s="244"/>
      <c r="K56" s="244"/>
      <c r="L56" s="244"/>
      <c r="M56" s="247"/>
      <c r="N56" s="250"/>
      <c r="O56" s="253"/>
      <c r="P56" s="253"/>
      <c r="Q56" s="253"/>
      <c r="R56" s="253"/>
      <c r="S56" s="253"/>
      <c r="T56" s="253"/>
      <c r="U56" s="91" t="s">
        <v>158</v>
      </c>
      <c r="V56" s="144"/>
      <c r="W56" s="160"/>
      <c r="X56" s="144" t="s">
        <v>34</v>
      </c>
      <c r="Y56" s="84">
        <v>7</v>
      </c>
      <c r="Z56" s="85">
        <v>2500000</v>
      </c>
      <c r="AA56" s="144"/>
      <c r="AB56" s="87">
        <v>1</v>
      </c>
      <c r="AC56" s="88">
        <f>Y56*Z56*AB56</f>
        <v>17500000</v>
      </c>
      <c r="AD56" s="241"/>
      <c r="AE56" s="241"/>
      <c r="AF56" s="86"/>
      <c r="AL56" s="132" t="s">
        <v>171</v>
      </c>
      <c r="AM56" s="135">
        <v>33164006887</v>
      </c>
      <c r="AN56" s="135"/>
    </row>
    <row r="57" spans="1:40" s="90" customFormat="1" ht="27" customHeight="1">
      <c r="A57" s="257"/>
      <c r="B57" s="260"/>
      <c r="C57" s="263"/>
      <c r="D57" s="263"/>
      <c r="E57" s="263"/>
      <c r="F57" s="263"/>
      <c r="G57" s="266"/>
      <c r="H57" s="302"/>
      <c r="I57" s="244"/>
      <c r="J57" s="244"/>
      <c r="K57" s="244"/>
      <c r="L57" s="244"/>
      <c r="M57" s="247"/>
      <c r="N57" s="250"/>
      <c r="O57" s="253"/>
      <c r="P57" s="253"/>
      <c r="Q57" s="253"/>
      <c r="R57" s="253"/>
      <c r="S57" s="253"/>
      <c r="T57" s="253"/>
      <c r="U57" s="91" t="s">
        <v>164</v>
      </c>
      <c r="V57" s="92"/>
      <c r="W57" s="93">
        <f>(Y55-Y56)*0.3</f>
        <v>0.89999999999999991</v>
      </c>
      <c r="X57" s="144" t="s">
        <v>34</v>
      </c>
      <c r="Y57" s="84">
        <v>1</v>
      </c>
      <c r="Z57" s="85">
        <v>2500000</v>
      </c>
      <c r="AA57" s="86"/>
      <c r="AB57" s="87">
        <v>0.3</v>
      </c>
      <c r="AC57" s="88">
        <f t="shared" ref="AC57:AC61" si="12">Y57*Z57*AB57</f>
        <v>750000</v>
      </c>
      <c r="AD57" s="241"/>
      <c r="AE57" s="241"/>
      <c r="AF57" s="86"/>
      <c r="AL57" s="132" t="s">
        <v>171</v>
      </c>
      <c r="AM57" s="135"/>
      <c r="AN57" s="135"/>
    </row>
    <row r="58" spans="1:40" s="90" customFormat="1" ht="27" customHeight="1">
      <c r="A58" s="257"/>
      <c r="B58" s="260"/>
      <c r="C58" s="263"/>
      <c r="D58" s="263"/>
      <c r="E58" s="263"/>
      <c r="F58" s="263"/>
      <c r="G58" s="266"/>
      <c r="H58" s="302"/>
      <c r="I58" s="244"/>
      <c r="J58" s="244"/>
      <c r="K58" s="244"/>
      <c r="L58" s="244"/>
      <c r="M58" s="247"/>
      <c r="N58" s="250"/>
      <c r="O58" s="253"/>
      <c r="P58" s="253"/>
      <c r="Q58" s="253"/>
      <c r="R58" s="253"/>
      <c r="S58" s="253"/>
      <c r="T58" s="253"/>
      <c r="U58" s="91" t="s">
        <v>165</v>
      </c>
      <c r="V58" s="144"/>
      <c r="W58" s="160"/>
      <c r="X58" s="144" t="s">
        <v>34</v>
      </c>
      <c r="Y58" s="84">
        <v>2</v>
      </c>
      <c r="Z58" s="85">
        <v>2500000</v>
      </c>
      <c r="AA58" s="86"/>
      <c r="AB58" s="87">
        <v>0</v>
      </c>
      <c r="AC58" s="88">
        <f t="shared" si="12"/>
        <v>0</v>
      </c>
      <c r="AD58" s="241"/>
      <c r="AE58" s="241"/>
      <c r="AF58" s="86"/>
      <c r="AL58" s="132" t="s">
        <v>171</v>
      </c>
      <c r="AM58" s="135"/>
      <c r="AN58" s="135"/>
    </row>
    <row r="59" spans="1:40" s="90" customFormat="1" ht="38.450000000000003" customHeight="1">
      <c r="A59" s="257"/>
      <c r="B59" s="260"/>
      <c r="C59" s="263"/>
      <c r="D59" s="263"/>
      <c r="E59" s="263"/>
      <c r="F59" s="263"/>
      <c r="G59" s="266"/>
      <c r="H59" s="302"/>
      <c r="I59" s="244"/>
      <c r="J59" s="244"/>
      <c r="K59" s="244"/>
      <c r="L59" s="244"/>
      <c r="M59" s="247"/>
      <c r="N59" s="250"/>
      <c r="O59" s="253"/>
      <c r="P59" s="253"/>
      <c r="Q59" s="253"/>
      <c r="R59" s="253"/>
      <c r="S59" s="253"/>
      <c r="T59" s="253"/>
      <c r="U59" s="100" t="s">
        <v>178</v>
      </c>
      <c r="V59" s="92">
        <v>4</v>
      </c>
      <c r="W59" s="93">
        <f>G55/V59</f>
        <v>34.25</v>
      </c>
      <c r="X59" s="144" t="s">
        <v>49</v>
      </c>
      <c r="Y59" s="84">
        <v>25</v>
      </c>
      <c r="Z59" s="85"/>
      <c r="AA59" s="86"/>
      <c r="AB59" s="87"/>
      <c r="AC59" s="88">
        <f t="shared" si="12"/>
        <v>0</v>
      </c>
      <c r="AD59" s="241"/>
      <c r="AE59" s="241"/>
      <c r="AF59" s="86"/>
      <c r="AL59" s="132"/>
      <c r="AM59" s="135"/>
      <c r="AN59" s="135"/>
    </row>
    <row r="60" spans="1:40" s="90" customFormat="1" ht="27" customHeight="1">
      <c r="A60" s="257"/>
      <c r="B60" s="260"/>
      <c r="C60" s="263"/>
      <c r="D60" s="263"/>
      <c r="E60" s="263"/>
      <c r="F60" s="263"/>
      <c r="G60" s="266"/>
      <c r="H60" s="302"/>
      <c r="I60" s="244"/>
      <c r="J60" s="244"/>
      <c r="K60" s="244"/>
      <c r="L60" s="244"/>
      <c r="M60" s="247"/>
      <c r="N60" s="250"/>
      <c r="O60" s="253"/>
      <c r="P60" s="253"/>
      <c r="Q60" s="253"/>
      <c r="R60" s="253"/>
      <c r="S60" s="253"/>
      <c r="T60" s="253"/>
      <c r="U60" s="91" t="s">
        <v>164</v>
      </c>
      <c r="V60" s="92"/>
      <c r="W60" s="93">
        <f>W59*0.3</f>
        <v>10.275</v>
      </c>
      <c r="X60" s="144" t="s">
        <v>49</v>
      </c>
      <c r="Y60" s="84">
        <v>10</v>
      </c>
      <c r="Z60" s="85">
        <v>200000</v>
      </c>
      <c r="AA60" s="86"/>
      <c r="AB60" s="87">
        <v>0.3</v>
      </c>
      <c r="AC60" s="88">
        <f t="shared" si="12"/>
        <v>600000</v>
      </c>
      <c r="AD60" s="241"/>
      <c r="AE60" s="241"/>
      <c r="AF60" s="86"/>
      <c r="AL60" s="132"/>
      <c r="AM60" s="135"/>
      <c r="AN60" s="135"/>
    </row>
    <row r="61" spans="1:40" s="90" customFormat="1" ht="27" customHeight="1">
      <c r="A61" s="257"/>
      <c r="B61" s="260"/>
      <c r="C61" s="264"/>
      <c r="D61" s="264"/>
      <c r="E61" s="264"/>
      <c r="F61" s="264"/>
      <c r="G61" s="267"/>
      <c r="H61" s="151"/>
      <c r="I61" s="245"/>
      <c r="J61" s="245"/>
      <c r="K61" s="245"/>
      <c r="L61" s="138"/>
      <c r="M61" s="248"/>
      <c r="N61" s="251"/>
      <c r="O61" s="254"/>
      <c r="P61" s="254"/>
      <c r="Q61" s="254"/>
      <c r="R61" s="254"/>
      <c r="S61" s="254"/>
      <c r="T61" s="254"/>
      <c r="U61" s="91" t="s">
        <v>165</v>
      </c>
      <c r="V61" s="144"/>
      <c r="W61" s="160"/>
      <c r="X61" s="144" t="s">
        <v>49</v>
      </c>
      <c r="Y61" s="84">
        <v>15</v>
      </c>
      <c r="Z61" s="85">
        <v>200000</v>
      </c>
      <c r="AA61" s="86"/>
      <c r="AB61" s="87">
        <v>0</v>
      </c>
      <c r="AC61" s="88">
        <f t="shared" si="12"/>
        <v>0</v>
      </c>
      <c r="AD61" s="241"/>
      <c r="AE61" s="241"/>
      <c r="AF61" s="86"/>
      <c r="AL61" s="132" t="s">
        <v>171</v>
      </c>
      <c r="AM61" s="135"/>
      <c r="AN61" s="135"/>
    </row>
    <row r="62" spans="1:40" s="90" customFormat="1" ht="24.75" customHeight="1">
      <c r="A62" s="256">
        <v>6</v>
      </c>
      <c r="B62" s="259" t="s">
        <v>204</v>
      </c>
      <c r="C62" s="262">
        <v>62</v>
      </c>
      <c r="D62" s="262">
        <v>241</v>
      </c>
      <c r="E62" s="262">
        <v>2354</v>
      </c>
      <c r="F62" s="262" t="s">
        <v>2</v>
      </c>
      <c r="G62" s="265">
        <v>2268</v>
      </c>
      <c r="H62" s="160"/>
      <c r="I62" s="243">
        <f>E62-G62</f>
        <v>86</v>
      </c>
      <c r="J62" s="252">
        <f>G62</f>
        <v>2268</v>
      </c>
      <c r="K62" s="243">
        <v>2268</v>
      </c>
      <c r="L62" s="252"/>
      <c r="M62" s="246">
        <f>J62/K62</f>
        <v>1</v>
      </c>
      <c r="N62" s="249">
        <f>IF(M62&lt;0.1,2,IF(M62&lt;0.2,3,IF(M62&lt;0.3,5,IF(M62&gt;=0.7,12,IF(M62&gt;=0.3,6)))))</f>
        <v>12</v>
      </c>
      <c r="O62" s="252">
        <v>5</v>
      </c>
      <c r="P62" s="252">
        <v>80000</v>
      </c>
      <c r="Q62" s="252">
        <f>J62*P62</f>
        <v>181440000</v>
      </c>
      <c r="R62" s="252">
        <f>Q62*3</f>
        <v>544320000</v>
      </c>
      <c r="S62" s="252">
        <f>N62*O62*S6</f>
        <v>30600000</v>
      </c>
      <c r="T62" s="252">
        <f>SUM(Q62:S87)</f>
        <v>756360000</v>
      </c>
      <c r="U62" s="82" t="s">
        <v>172</v>
      </c>
      <c r="V62" s="144">
        <v>25</v>
      </c>
      <c r="W62" s="160">
        <f>(J62-Y84-Y87)/V62</f>
        <v>89.72</v>
      </c>
      <c r="X62" s="144" t="s">
        <v>34</v>
      </c>
      <c r="Y62" s="84">
        <v>30</v>
      </c>
      <c r="Z62" s="85"/>
      <c r="AA62" s="86"/>
      <c r="AB62" s="87"/>
      <c r="AC62" s="88"/>
      <c r="AD62" s="240">
        <f>SUM(AC62:AC87)</f>
        <v>257375000</v>
      </c>
      <c r="AE62" s="240">
        <f>T62+AD62</f>
        <v>1013735000</v>
      </c>
      <c r="AF62" s="86" t="s">
        <v>173</v>
      </c>
      <c r="AL62" s="132" t="s">
        <v>171</v>
      </c>
      <c r="AM62" s="135">
        <v>33071005893</v>
      </c>
      <c r="AN62" s="135"/>
    </row>
    <row r="63" spans="1:40" s="90" customFormat="1" ht="24.75" customHeight="1">
      <c r="A63" s="257"/>
      <c r="B63" s="260"/>
      <c r="C63" s="263"/>
      <c r="D63" s="263"/>
      <c r="E63" s="263"/>
      <c r="F63" s="263"/>
      <c r="G63" s="266"/>
      <c r="H63" s="160"/>
      <c r="I63" s="244"/>
      <c r="J63" s="253"/>
      <c r="K63" s="244"/>
      <c r="L63" s="253"/>
      <c r="M63" s="247"/>
      <c r="N63" s="250"/>
      <c r="O63" s="253"/>
      <c r="P63" s="253"/>
      <c r="Q63" s="253"/>
      <c r="R63" s="253"/>
      <c r="S63" s="253"/>
      <c r="T63" s="253"/>
      <c r="U63" s="91" t="s">
        <v>158</v>
      </c>
      <c r="V63" s="144"/>
      <c r="W63" s="160"/>
      <c r="X63" s="144" t="s">
        <v>34</v>
      </c>
      <c r="Y63" s="84">
        <v>30</v>
      </c>
      <c r="Z63" s="85">
        <v>4500000</v>
      </c>
      <c r="AA63" s="144"/>
      <c r="AB63" s="87">
        <v>1</v>
      </c>
      <c r="AC63" s="88">
        <f t="shared" ref="AC63" si="13">Y63*Z63*AB63</f>
        <v>135000000</v>
      </c>
      <c r="AD63" s="241"/>
      <c r="AE63" s="241"/>
      <c r="AF63" s="86"/>
      <c r="AL63" s="132"/>
      <c r="AM63" s="135"/>
      <c r="AN63" s="135"/>
    </row>
    <row r="64" spans="1:40" s="90" customFormat="1" ht="24.75" customHeight="1">
      <c r="A64" s="257"/>
      <c r="B64" s="260"/>
      <c r="C64" s="263"/>
      <c r="D64" s="263"/>
      <c r="E64" s="263"/>
      <c r="F64" s="263"/>
      <c r="G64" s="266"/>
      <c r="H64" s="160"/>
      <c r="I64" s="244"/>
      <c r="J64" s="253"/>
      <c r="K64" s="244"/>
      <c r="L64" s="253"/>
      <c r="M64" s="247"/>
      <c r="N64" s="250"/>
      <c r="O64" s="253"/>
      <c r="P64" s="253"/>
      <c r="Q64" s="253"/>
      <c r="R64" s="253"/>
      <c r="S64" s="253"/>
      <c r="T64" s="253"/>
      <c r="U64" s="82" t="s">
        <v>166</v>
      </c>
      <c r="V64" s="144"/>
      <c r="W64" s="160"/>
      <c r="X64" s="144" t="s">
        <v>34</v>
      </c>
      <c r="Y64" s="84">
        <v>10</v>
      </c>
      <c r="Z64" s="143"/>
      <c r="AA64" s="144"/>
      <c r="AB64" s="87"/>
      <c r="AC64" s="88"/>
      <c r="AD64" s="241"/>
      <c r="AE64" s="241"/>
      <c r="AF64" s="86"/>
      <c r="AL64" s="132"/>
      <c r="AM64" s="135"/>
      <c r="AN64" s="135"/>
    </row>
    <row r="65" spans="1:40" s="90" customFormat="1" ht="24.75" customHeight="1">
      <c r="A65" s="257"/>
      <c r="B65" s="260"/>
      <c r="C65" s="263"/>
      <c r="D65" s="263"/>
      <c r="E65" s="263"/>
      <c r="F65" s="263"/>
      <c r="G65" s="266"/>
      <c r="H65" s="160"/>
      <c r="I65" s="244"/>
      <c r="J65" s="253"/>
      <c r="K65" s="244"/>
      <c r="L65" s="253"/>
      <c r="M65" s="247"/>
      <c r="N65" s="250"/>
      <c r="O65" s="253"/>
      <c r="P65" s="253"/>
      <c r="Q65" s="253"/>
      <c r="R65" s="253"/>
      <c r="S65" s="253"/>
      <c r="T65" s="253"/>
      <c r="U65" s="91" t="s">
        <v>158</v>
      </c>
      <c r="V65" s="144"/>
      <c r="W65" s="160"/>
      <c r="X65" s="144" t="s">
        <v>49</v>
      </c>
      <c r="Y65" s="84">
        <v>10</v>
      </c>
      <c r="Z65" s="85">
        <v>3850000</v>
      </c>
      <c r="AA65" s="144"/>
      <c r="AB65" s="87">
        <v>1</v>
      </c>
      <c r="AC65" s="88">
        <f t="shared" ref="AC65:AC69" si="14">Y65*Z65*AB65</f>
        <v>38500000</v>
      </c>
      <c r="AD65" s="241"/>
      <c r="AE65" s="241"/>
      <c r="AF65" s="86"/>
      <c r="AL65" s="132"/>
      <c r="AM65" s="135"/>
      <c r="AN65" s="135"/>
    </row>
    <row r="66" spans="1:40" s="90" customFormat="1" ht="33" customHeight="1">
      <c r="A66" s="257"/>
      <c r="B66" s="260"/>
      <c r="C66" s="263"/>
      <c r="D66" s="263"/>
      <c r="E66" s="263"/>
      <c r="F66" s="263"/>
      <c r="G66" s="266"/>
      <c r="H66" s="160"/>
      <c r="I66" s="244"/>
      <c r="J66" s="253"/>
      <c r="K66" s="244"/>
      <c r="L66" s="253"/>
      <c r="M66" s="247"/>
      <c r="N66" s="250"/>
      <c r="O66" s="253"/>
      <c r="P66" s="253"/>
      <c r="Q66" s="253"/>
      <c r="R66" s="253"/>
      <c r="S66" s="253"/>
      <c r="T66" s="253"/>
      <c r="U66" s="82" t="s">
        <v>168</v>
      </c>
      <c r="V66" s="144">
        <v>20</v>
      </c>
      <c r="W66" s="160">
        <f>(G62-Y84-Y87)/V66</f>
        <v>112.15</v>
      </c>
      <c r="X66" s="144" t="s">
        <v>34</v>
      </c>
      <c r="Y66" s="84">
        <v>40</v>
      </c>
      <c r="Z66" s="143"/>
      <c r="AA66" s="144"/>
      <c r="AB66" s="87"/>
      <c r="AC66" s="88">
        <f t="shared" si="14"/>
        <v>0</v>
      </c>
      <c r="AD66" s="241"/>
      <c r="AE66" s="241"/>
      <c r="AF66" s="86"/>
      <c r="AL66" s="132"/>
      <c r="AM66" s="135"/>
      <c r="AN66" s="135"/>
    </row>
    <row r="67" spans="1:40" s="90" customFormat="1" ht="24.75" customHeight="1">
      <c r="A67" s="257"/>
      <c r="B67" s="260"/>
      <c r="C67" s="263"/>
      <c r="D67" s="263"/>
      <c r="E67" s="263"/>
      <c r="F67" s="263"/>
      <c r="G67" s="266"/>
      <c r="H67" s="160"/>
      <c r="I67" s="244"/>
      <c r="J67" s="253"/>
      <c r="K67" s="244"/>
      <c r="L67" s="253"/>
      <c r="M67" s="247"/>
      <c r="N67" s="250"/>
      <c r="O67" s="253"/>
      <c r="P67" s="253"/>
      <c r="Q67" s="253"/>
      <c r="R67" s="253"/>
      <c r="S67" s="253"/>
      <c r="T67" s="253"/>
      <c r="U67" s="91" t="s">
        <v>158</v>
      </c>
      <c r="V67" s="144"/>
      <c r="W67" s="160"/>
      <c r="X67" s="144" t="s">
        <v>34</v>
      </c>
      <c r="Y67" s="84">
        <v>40</v>
      </c>
      <c r="Z67" s="143">
        <v>2500000</v>
      </c>
      <c r="AA67" s="144"/>
      <c r="AB67" s="87">
        <v>0.5</v>
      </c>
      <c r="AC67" s="88">
        <f t="shared" si="14"/>
        <v>50000000</v>
      </c>
      <c r="AD67" s="241"/>
      <c r="AE67" s="241"/>
      <c r="AF67" s="86"/>
      <c r="AL67" s="132"/>
      <c r="AM67" s="135"/>
      <c r="AN67" s="135"/>
    </row>
    <row r="68" spans="1:40" s="90" customFormat="1" ht="33" customHeight="1">
      <c r="A68" s="257"/>
      <c r="B68" s="260"/>
      <c r="C68" s="263"/>
      <c r="D68" s="263"/>
      <c r="E68" s="263"/>
      <c r="F68" s="263"/>
      <c r="G68" s="266"/>
      <c r="H68" s="160"/>
      <c r="I68" s="244"/>
      <c r="J68" s="253"/>
      <c r="K68" s="244"/>
      <c r="L68" s="253"/>
      <c r="M68" s="247"/>
      <c r="N68" s="250"/>
      <c r="O68" s="253"/>
      <c r="P68" s="253"/>
      <c r="Q68" s="253"/>
      <c r="R68" s="253"/>
      <c r="S68" s="253"/>
      <c r="T68" s="253"/>
      <c r="U68" s="82" t="s">
        <v>179</v>
      </c>
      <c r="V68" s="144"/>
      <c r="W68" s="160"/>
      <c r="X68" s="144" t="s">
        <v>34</v>
      </c>
      <c r="Y68" s="84">
        <v>10</v>
      </c>
      <c r="Z68" s="143"/>
      <c r="AA68" s="144"/>
      <c r="AB68" s="87"/>
      <c r="AC68" s="88">
        <f t="shared" si="14"/>
        <v>0</v>
      </c>
      <c r="AD68" s="241"/>
      <c r="AE68" s="241"/>
      <c r="AF68" s="86"/>
      <c r="AL68" s="132"/>
      <c r="AM68" s="135"/>
      <c r="AN68" s="135"/>
    </row>
    <row r="69" spans="1:40" s="90" customFormat="1" ht="24.75" customHeight="1">
      <c r="A69" s="257"/>
      <c r="B69" s="260"/>
      <c r="C69" s="263"/>
      <c r="D69" s="263"/>
      <c r="E69" s="263"/>
      <c r="F69" s="263"/>
      <c r="G69" s="266"/>
      <c r="H69" s="160"/>
      <c r="I69" s="244"/>
      <c r="J69" s="253"/>
      <c r="K69" s="244"/>
      <c r="L69" s="253"/>
      <c r="M69" s="247"/>
      <c r="N69" s="250"/>
      <c r="O69" s="253"/>
      <c r="P69" s="253"/>
      <c r="Q69" s="253"/>
      <c r="R69" s="253"/>
      <c r="S69" s="253"/>
      <c r="T69" s="253"/>
      <c r="U69" s="91" t="s">
        <v>158</v>
      </c>
      <c r="V69" s="144"/>
      <c r="W69" s="160"/>
      <c r="X69" s="144" t="s">
        <v>34</v>
      </c>
      <c r="Y69" s="84">
        <v>10</v>
      </c>
      <c r="Z69" s="143">
        <v>1800000</v>
      </c>
      <c r="AA69" s="144"/>
      <c r="AB69" s="87">
        <v>0.5</v>
      </c>
      <c r="AC69" s="88">
        <f t="shared" si="14"/>
        <v>9000000</v>
      </c>
      <c r="AD69" s="241"/>
      <c r="AE69" s="241"/>
      <c r="AF69" s="86"/>
      <c r="AL69" s="132"/>
      <c r="AM69" s="135"/>
      <c r="AN69" s="135"/>
    </row>
    <row r="70" spans="1:40" s="90" customFormat="1" ht="33" customHeight="1">
      <c r="A70" s="257"/>
      <c r="B70" s="260"/>
      <c r="C70" s="263"/>
      <c r="D70" s="263"/>
      <c r="E70" s="263"/>
      <c r="F70" s="263"/>
      <c r="G70" s="266"/>
      <c r="H70" s="160"/>
      <c r="I70" s="244"/>
      <c r="J70" s="253"/>
      <c r="K70" s="244"/>
      <c r="L70" s="253"/>
      <c r="M70" s="247"/>
      <c r="N70" s="250"/>
      <c r="O70" s="253"/>
      <c r="P70" s="253"/>
      <c r="Q70" s="253"/>
      <c r="R70" s="253"/>
      <c r="S70" s="253"/>
      <c r="T70" s="253"/>
      <c r="U70" s="91" t="s">
        <v>205</v>
      </c>
      <c r="V70" s="144">
        <v>25</v>
      </c>
      <c r="W70" s="160">
        <f>(J62-Y84-Y87)/V70</f>
        <v>89.72</v>
      </c>
      <c r="X70" s="144" t="s">
        <v>34</v>
      </c>
      <c r="Y70" s="84">
        <v>10</v>
      </c>
      <c r="Z70" s="143"/>
      <c r="AA70" s="144"/>
      <c r="AB70" s="87"/>
      <c r="AC70" s="88"/>
      <c r="AD70" s="241"/>
      <c r="AE70" s="241"/>
      <c r="AF70" s="86"/>
      <c r="AL70" s="132"/>
      <c r="AM70" s="135"/>
      <c r="AN70" s="135"/>
    </row>
    <row r="71" spans="1:40" s="90" customFormat="1" ht="24.75" customHeight="1">
      <c r="A71" s="257"/>
      <c r="B71" s="260"/>
      <c r="C71" s="263"/>
      <c r="D71" s="263"/>
      <c r="E71" s="263"/>
      <c r="F71" s="263"/>
      <c r="G71" s="266"/>
      <c r="H71" s="160"/>
      <c r="I71" s="244"/>
      <c r="J71" s="253"/>
      <c r="K71" s="244"/>
      <c r="L71" s="253"/>
      <c r="M71" s="247"/>
      <c r="N71" s="250"/>
      <c r="O71" s="253"/>
      <c r="P71" s="253"/>
      <c r="Q71" s="253"/>
      <c r="R71" s="253"/>
      <c r="S71" s="253"/>
      <c r="T71" s="253"/>
      <c r="U71" s="91" t="s">
        <v>158</v>
      </c>
      <c r="V71" s="144"/>
      <c r="W71" s="160"/>
      <c r="X71" s="144" t="s">
        <v>34</v>
      </c>
      <c r="Y71" s="84">
        <v>10</v>
      </c>
      <c r="Z71" s="143">
        <v>500000</v>
      </c>
      <c r="AA71" s="144"/>
      <c r="AB71" s="87">
        <v>0.5</v>
      </c>
      <c r="AC71" s="88">
        <f t="shared" ref="AC71" si="15">Y71*Z71*AB71</f>
        <v>2500000</v>
      </c>
      <c r="AD71" s="241"/>
      <c r="AE71" s="241"/>
      <c r="AF71" s="86"/>
      <c r="AL71" s="132"/>
      <c r="AM71" s="135"/>
      <c r="AN71" s="135"/>
    </row>
    <row r="72" spans="1:40" s="90" customFormat="1" ht="33" customHeight="1">
      <c r="A72" s="257"/>
      <c r="B72" s="260"/>
      <c r="C72" s="263"/>
      <c r="D72" s="263"/>
      <c r="E72" s="263"/>
      <c r="F72" s="263"/>
      <c r="G72" s="266"/>
      <c r="H72" s="160"/>
      <c r="I72" s="244"/>
      <c r="J72" s="253"/>
      <c r="K72" s="244"/>
      <c r="L72" s="253"/>
      <c r="M72" s="247"/>
      <c r="N72" s="250"/>
      <c r="O72" s="253"/>
      <c r="P72" s="253"/>
      <c r="Q72" s="253"/>
      <c r="R72" s="253"/>
      <c r="S72" s="253"/>
      <c r="T72" s="253"/>
      <c r="U72" s="100" t="s">
        <v>206</v>
      </c>
      <c r="V72" s="92">
        <v>25</v>
      </c>
      <c r="W72" s="93"/>
      <c r="X72" s="144" t="s">
        <v>34</v>
      </c>
      <c r="Y72" s="84">
        <v>2</v>
      </c>
      <c r="Z72" s="143"/>
      <c r="AA72" s="86"/>
      <c r="AB72" s="87"/>
      <c r="AC72" s="88"/>
      <c r="AD72" s="241"/>
      <c r="AE72" s="241"/>
      <c r="AF72" s="86"/>
      <c r="AL72" s="132"/>
      <c r="AM72" s="135"/>
      <c r="AN72" s="135"/>
    </row>
    <row r="73" spans="1:40" s="90" customFormat="1" ht="24.75" customHeight="1">
      <c r="A73" s="257"/>
      <c r="B73" s="260"/>
      <c r="C73" s="263"/>
      <c r="D73" s="263"/>
      <c r="E73" s="263"/>
      <c r="F73" s="263"/>
      <c r="G73" s="266"/>
      <c r="H73" s="160"/>
      <c r="I73" s="244"/>
      <c r="J73" s="253"/>
      <c r="K73" s="244"/>
      <c r="L73" s="253"/>
      <c r="M73" s="247"/>
      <c r="N73" s="250"/>
      <c r="O73" s="253"/>
      <c r="P73" s="253"/>
      <c r="Q73" s="253"/>
      <c r="R73" s="253"/>
      <c r="S73" s="253"/>
      <c r="T73" s="253"/>
      <c r="U73" s="91" t="s">
        <v>158</v>
      </c>
      <c r="V73" s="144"/>
      <c r="W73" s="160"/>
      <c r="X73" s="144" t="s">
        <v>34</v>
      </c>
      <c r="Y73" s="84">
        <v>2</v>
      </c>
      <c r="Z73" s="143">
        <v>1500000</v>
      </c>
      <c r="AA73" s="86"/>
      <c r="AB73" s="87">
        <v>0.5</v>
      </c>
      <c r="AC73" s="88">
        <f t="shared" ref="AC73" si="16">Y73*Z73*AB73</f>
        <v>1500000</v>
      </c>
      <c r="AD73" s="241"/>
      <c r="AE73" s="241"/>
      <c r="AF73" s="86"/>
      <c r="AL73" s="132"/>
      <c r="AM73" s="135"/>
      <c r="AN73" s="135"/>
    </row>
    <row r="74" spans="1:40" s="90" customFormat="1" ht="33" customHeight="1">
      <c r="A74" s="257"/>
      <c r="B74" s="260"/>
      <c r="C74" s="263"/>
      <c r="D74" s="263"/>
      <c r="E74" s="263"/>
      <c r="F74" s="263"/>
      <c r="G74" s="266"/>
      <c r="H74" s="160"/>
      <c r="I74" s="244"/>
      <c r="J74" s="253"/>
      <c r="K74" s="244"/>
      <c r="L74" s="253"/>
      <c r="M74" s="247"/>
      <c r="N74" s="250"/>
      <c r="O74" s="253"/>
      <c r="P74" s="253"/>
      <c r="Q74" s="253"/>
      <c r="R74" s="253"/>
      <c r="S74" s="253"/>
      <c r="T74" s="253"/>
      <c r="U74" s="100" t="s">
        <v>207</v>
      </c>
      <c r="V74" s="92"/>
      <c r="W74" s="93"/>
      <c r="X74" s="144" t="s">
        <v>34</v>
      </c>
      <c r="Y74" s="84">
        <v>1</v>
      </c>
      <c r="Z74" s="143"/>
      <c r="AA74" s="86"/>
      <c r="AB74" s="87"/>
      <c r="AC74" s="88"/>
      <c r="AD74" s="241"/>
      <c r="AE74" s="241"/>
      <c r="AF74" s="86"/>
      <c r="AL74" s="132"/>
      <c r="AM74" s="135"/>
      <c r="AN74" s="135"/>
    </row>
    <row r="75" spans="1:40" s="90" customFormat="1" ht="24.75" customHeight="1">
      <c r="A75" s="257"/>
      <c r="B75" s="260"/>
      <c r="C75" s="263"/>
      <c r="D75" s="263"/>
      <c r="E75" s="263"/>
      <c r="F75" s="263"/>
      <c r="G75" s="266"/>
      <c r="H75" s="160"/>
      <c r="I75" s="244"/>
      <c r="J75" s="253"/>
      <c r="K75" s="244"/>
      <c r="L75" s="253"/>
      <c r="M75" s="247"/>
      <c r="N75" s="250"/>
      <c r="O75" s="253"/>
      <c r="P75" s="253"/>
      <c r="Q75" s="253"/>
      <c r="R75" s="253"/>
      <c r="S75" s="253"/>
      <c r="T75" s="253"/>
      <c r="U75" s="91" t="s">
        <v>158</v>
      </c>
      <c r="V75" s="144"/>
      <c r="W75" s="160"/>
      <c r="X75" s="144" t="s">
        <v>34</v>
      </c>
      <c r="Y75" s="84">
        <v>1</v>
      </c>
      <c r="Z75" s="143">
        <v>200000</v>
      </c>
      <c r="AA75" s="86"/>
      <c r="AB75" s="87">
        <v>0.5</v>
      </c>
      <c r="AC75" s="88">
        <f t="shared" ref="AC75" si="17">Y75*Z75*AB75</f>
        <v>100000</v>
      </c>
      <c r="AD75" s="241"/>
      <c r="AE75" s="241"/>
      <c r="AF75" s="86"/>
      <c r="AL75" s="132"/>
      <c r="AM75" s="135"/>
      <c r="AN75" s="135"/>
    </row>
    <row r="76" spans="1:40" s="90" customFormat="1" ht="33" customHeight="1">
      <c r="A76" s="257"/>
      <c r="B76" s="260"/>
      <c r="C76" s="263"/>
      <c r="D76" s="263"/>
      <c r="E76" s="263"/>
      <c r="F76" s="263"/>
      <c r="G76" s="266"/>
      <c r="H76" s="160"/>
      <c r="I76" s="244"/>
      <c r="J76" s="253"/>
      <c r="K76" s="244"/>
      <c r="L76" s="253"/>
      <c r="M76" s="247"/>
      <c r="N76" s="250"/>
      <c r="O76" s="253"/>
      <c r="P76" s="253"/>
      <c r="Q76" s="253"/>
      <c r="R76" s="253"/>
      <c r="S76" s="253"/>
      <c r="T76" s="253"/>
      <c r="U76" s="100" t="s">
        <v>208</v>
      </c>
      <c r="V76" s="92"/>
      <c r="W76" s="93"/>
      <c r="X76" s="144" t="s">
        <v>34</v>
      </c>
      <c r="Y76" s="84">
        <v>1</v>
      </c>
      <c r="Z76" s="143"/>
      <c r="AA76" s="86"/>
      <c r="AB76" s="87"/>
      <c r="AC76" s="88"/>
      <c r="AD76" s="241"/>
      <c r="AE76" s="241"/>
      <c r="AF76" s="86"/>
      <c r="AL76" s="132"/>
      <c r="AM76" s="135"/>
      <c r="AN76" s="135"/>
    </row>
    <row r="77" spans="1:40" s="90" customFormat="1" ht="24.75" customHeight="1">
      <c r="A77" s="257"/>
      <c r="B77" s="260"/>
      <c r="C77" s="263"/>
      <c r="D77" s="263"/>
      <c r="E77" s="263"/>
      <c r="F77" s="263"/>
      <c r="G77" s="266"/>
      <c r="H77" s="160"/>
      <c r="I77" s="244"/>
      <c r="J77" s="253"/>
      <c r="K77" s="244"/>
      <c r="L77" s="253"/>
      <c r="M77" s="247"/>
      <c r="N77" s="250"/>
      <c r="O77" s="253"/>
      <c r="P77" s="253"/>
      <c r="Q77" s="253"/>
      <c r="R77" s="253"/>
      <c r="S77" s="253"/>
      <c r="T77" s="253"/>
      <c r="U77" s="91" t="s">
        <v>158</v>
      </c>
      <c r="V77" s="144"/>
      <c r="W77" s="160"/>
      <c r="X77" s="144" t="s">
        <v>34</v>
      </c>
      <c r="Y77" s="84">
        <v>1</v>
      </c>
      <c r="Z77" s="143">
        <v>500000</v>
      </c>
      <c r="AA77" s="86"/>
      <c r="AB77" s="87">
        <v>0.5</v>
      </c>
      <c r="AC77" s="88">
        <f t="shared" ref="AC77" si="18">Y77*Z77*AB77</f>
        <v>250000</v>
      </c>
      <c r="AD77" s="241"/>
      <c r="AE77" s="241"/>
      <c r="AF77" s="86"/>
      <c r="AL77" s="132"/>
      <c r="AM77" s="135"/>
      <c r="AN77" s="135"/>
    </row>
    <row r="78" spans="1:40" s="90" customFormat="1" ht="33" customHeight="1">
      <c r="A78" s="257"/>
      <c r="B78" s="260"/>
      <c r="C78" s="263"/>
      <c r="D78" s="263"/>
      <c r="E78" s="263"/>
      <c r="F78" s="263"/>
      <c r="G78" s="266"/>
      <c r="H78" s="160"/>
      <c r="I78" s="244"/>
      <c r="J78" s="253"/>
      <c r="K78" s="244"/>
      <c r="L78" s="253"/>
      <c r="M78" s="247"/>
      <c r="N78" s="250"/>
      <c r="O78" s="253"/>
      <c r="P78" s="253"/>
      <c r="Q78" s="253"/>
      <c r="R78" s="253"/>
      <c r="S78" s="253"/>
      <c r="T78" s="253"/>
      <c r="U78" s="100" t="s">
        <v>209</v>
      </c>
      <c r="V78" s="92"/>
      <c r="W78" s="93"/>
      <c r="X78" s="144" t="s">
        <v>34</v>
      </c>
      <c r="Y78" s="84">
        <v>1</v>
      </c>
      <c r="Z78" s="143"/>
      <c r="AA78" s="86"/>
      <c r="AB78" s="87"/>
      <c r="AC78" s="88"/>
      <c r="AD78" s="241"/>
      <c r="AE78" s="241"/>
      <c r="AF78" s="86"/>
      <c r="AL78" s="132"/>
      <c r="AM78" s="135"/>
      <c r="AN78" s="135"/>
    </row>
    <row r="79" spans="1:40" s="90" customFormat="1" ht="24.75" customHeight="1">
      <c r="A79" s="257"/>
      <c r="B79" s="260"/>
      <c r="C79" s="263"/>
      <c r="D79" s="263"/>
      <c r="E79" s="263"/>
      <c r="F79" s="263"/>
      <c r="G79" s="266"/>
      <c r="H79" s="160"/>
      <c r="I79" s="244"/>
      <c r="J79" s="253"/>
      <c r="K79" s="244"/>
      <c r="L79" s="253"/>
      <c r="M79" s="247"/>
      <c r="N79" s="250"/>
      <c r="O79" s="253"/>
      <c r="P79" s="253"/>
      <c r="Q79" s="253"/>
      <c r="R79" s="253"/>
      <c r="S79" s="253"/>
      <c r="T79" s="253"/>
      <c r="U79" s="91" t="s">
        <v>158</v>
      </c>
      <c r="V79" s="144"/>
      <c r="W79" s="160"/>
      <c r="X79" s="144" t="s">
        <v>34</v>
      </c>
      <c r="Y79" s="84">
        <v>1</v>
      </c>
      <c r="Z79" s="143">
        <v>550000</v>
      </c>
      <c r="AA79" s="86"/>
      <c r="AB79" s="87">
        <v>0.5</v>
      </c>
      <c r="AC79" s="88">
        <f t="shared" ref="AC79" si="19">Y79*Z79*AB79</f>
        <v>275000</v>
      </c>
      <c r="AD79" s="241"/>
      <c r="AE79" s="241"/>
      <c r="AF79" s="86"/>
      <c r="AL79" s="132"/>
      <c r="AM79" s="135"/>
      <c r="AN79" s="135"/>
    </row>
    <row r="80" spans="1:40" s="90" customFormat="1" ht="33" customHeight="1">
      <c r="A80" s="257"/>
      <c r="B80" s="260"/>
      <c r="C80" s="263"/>
      <c r="D80" s="263"/>
      <c r="E80" s="263"/>
      <c r="F80" s="263"/>
      <c r="G80" s="266"/>
      <c r="H80" s="160"/>
      <c r="I80" s="244"/>
      <c r="J80" s="253"/>
      <c r="K80" s="244"/>
      <c r="L80" s="253"/>
      <c r="M80" s="247"/>
      <c r="N80" s="250"/>
      <c r="O80" s="253"/>
      <c r="P80" s="253"/>
      <c r="Q80" s="253"/>
      <c r="R80" s="253"/>
      <c r="S80" s="253"/>
      <c r="T80" s="253"/>
      <c r="U80" s="100" t="s">
        <v>210</v>
      </c>
      <c r="V80" s="92"/>
      <c r="W80" s="93"/>
      <c r="X80" s="144" t="s">
        <v>34</v>
      </c>
      <c r="Y80" s="84">
        <v>2</v>
      </c>
      <c r="Z80" s="143"/>
      <c r="AA80" s="86"/>
      <c r="AB80" s="87"/>
      <c r="AC80" s="88"/>
      <c r="AD80" s="241"/>
      <c r="AE80" s="241"/>
      <c r="AF80" s="86"/>
      <c r="AL80" s="132"/>
      <c r="AM80" s="135"/>
      <c r="AN80" s="135"/>
    </row>
    <row r="81" spans="1:40" s="90" customFormat="1" ht="24.75" customHeight="1">
      <c r="A81" s="257"/>
      <c r="B81" s="260"/>
      <c r="C81" s="263"/>
      <c r="D81" s="263"/>
      <c r="E81" s="263"/>
      <c r="F81" s="263"/>
      <c r="G81" s="266"/>
      <c r="H81" s="160"/>
      <c r="I81" s="244"/>
      <c r="J81" s="253"/>
      <c r="K81" s="244"/>
      <c r="L81" s="253"/>
      <c r="M81" s="247"/>
      <c r="N81" s="250"/>
      <c r="O81" s="253"/>
      <c r="P81" s="253"/>
      <c r="Q81" s="253"/>
      <c r="R81" s="253"/>
      <c r="S81" s="253"/>
      <c r="T81" s="253"/>
      <c r="U81" s="91" t="s">
        <v>158</v>
      </c>
      <c r="V81" s="144"/>
      <c r="W81" s="160"/>
      <c r="X81" s="144" t="s">
        <v>34</v>
      </c>
      <c r="Y81" s="84">
        <v>2</v>
      </c>
      <c r="Z81" s="143">
        <v>1500000</v>
      </c>
      <c r="AA81" s="86"/>
      <c r="AB81" s="87">
        <v>0.5</v>
      </c>
      <c r="AC81" s="88">
        <f t="shared" ref="AC81:AC87" si="20">Y81*Z81*AB81</f>
        <v>1500000</v>
      </c>
      <c r="AD81" s="241"/>
      <c r="AE81" s="241"/>
      <c r="AF81" s="86"/>
      <c r="AL81" s="132"/>
      <c r="AM81" s="135"/>
      <c r="AN81" s="135"/>
    </row>
    <row r="82" spans="1:40" s="90" customFormat="1" ht="24.75" customHeight="1">
      <c r="A82" s="257"/>
      <c r="B82" s="260"/>
      <c r="C82" s="263"/>
      <c r="D82" s="263"/>
      <c r="E82" s="263"/>
      <c r="F82" s="263"/>
      <c r="G82" s="266"/>
      <c r="H82" s="160"/>
      <c r="I82" s="244"/>
      <c r="J82" s="253"/>
      <c r="K82" s="244"/>
      <c r="L82" s="253"/>
      <c r="M82" s="247"/>
      <c r="N82" s="250"/>
      <c r="O82" s="253"/>
      <c r="P82" s="253"/>
      <c r="Q82" s="253"/>
      <c r="R82" s="253"/>
      <c r="S82" s="253"/>
      <c r="T82" s="253"/>
      <c r="U82" s="82" t="s">
        <v>211</v>
      </c>
      <c r="V82" s="144"/>
      <c r="W82" s="160"/>
      <c r="X82" s="144" t="s">
        <v>38</v>
      </c>
      <c r="Y82" s="84">
        <v>1500</v>
      </c>
      <c r="Z82" s="150">
        <v>12500</v>
      </c>
      <c r="AA82" s="86"/>
      <c r="AB82" s="87">
        <v>1</v>
      </c>
      <c r="AC82" s="88">
        <f t="shared" si="20"/>
        <v>18750000</v>
      </c>
      <c r="AD82" s="241"/>
      <c r="AE82" s="241"/>
      <c r="AF82" s="86"/>
      <c r="AL82" s="132"/>
      <c r="AM82" s="135"/>
      <c r="AN82" s="135"/>
    </row>
    <row r="83" spans="1:40" s="90" customFormat="1" ht="24.75" customHeight="1">
      <c r="A83" s="257"/>
      <c r="B83" s="260"/>
      <c r="C83" s="263"/>
      <c r="D83" s="263"/>
      <c r="E83" s="263"/>
      <c r="F83" s="263"/>
      <c r="G83" s="266"/>
      <c r="H83" s="160"/>
      <c r="I83" s="244"/>
      <c r="J83" s="253"/>
      <c r="K83" s="244"/>
      <c r="L83" s="253"/>
      <c r="M83" s="247"/>
      <c r="N83" s="250"/>
      <c r="O83" s="253"/>
      <c r="P83" s="253"/>
      <c r="Q83" s="253"/>
      <c r="R83" s="253"/>
      <c r="S83" s="253"/>
      <c r="T83" s="253"/>
      <c r="U83" s="82" t="s">
        <v>212</v>
      </c>
      <c r="V83" s="144"/>
      <c r="W83" s="160"/>
      <c r="X83" s="144" t="s">
        <v>36</v>
      </c>
      <c r="Y83" s="84">
        <v>1</v>
      </c>
      <c r="Z83" s="85"/>
      <c r="AA83" s="86"/>
      <c r="AB83" s="87">
        <v>0</v>
      </c>
      <c r="AC83" s="88">
        <f t="shared" si="20"/>
        <v>0</v>
      </c>
      <c r="AD83" s="241"/>
      <c r="AE83" s="241"/>
      <c r="AF83" s="86"/>
      <c r="AL83" s="132"/>
      <c r="AM83" s="135"/>
      <c r="AN83" s="135"/>
    </row>
    <row r="84" spans="1:40" s="90" customFormat="1" ht="53.25" customHeight="1">
      <c r="A84" s="257"/>
      <c r="B84" s="260"/>
      <c r="C84" s="263"/>
      <c r="D84" s="263"/>
      <c r="E84" s="263"/>
      <c r="F84" s="263"/>
      <c r="G84" s="266"/>
      <c r="H84" s="160"/>
      <c r="I84" s="244"/>
      <c r="J84" s="253"/>
      <c r="K84" s="244"/>
      <c r="L84" s="253"/>
      <c r="M84" s="247"/>
      <c r="N84" s="250"/>
      <c r="O84" s="253"/>
      <c r="P84" s="253"/>
      <c r="Q84" s="253"/>
      <c r="R84" s="253"/>
      <c r="S84" s="253"/>
      <c r="T84" s="253"/>
      <c r="U84" s="94" t="s">
        <v>213</v>
      </c>
      <c r="V84" s="83"/>
      <c r="W84" s="95"/>
      <c r="X84" s="83" t="s">
        <v>38</v>
      </c>
      <c r="Y84" s="95">
        <v>15</v>
      </c>
      <c r="Z84" s="85"/>
      <c r="AA84" s="86"/>
      <c r="AB84" s="87">
        <v>0</v>
      </c>
      <c r="AC84" s="88">
        <f t="shared" si="20"/>
        <v>0</v>
      </c>
      <c r="AD84" s="241"/>
      <c r="AE84" s="241"/>
      <c r="AF84" s="86"/>
      <c r="AL84" s="132"/>
      <c r="AM84" s="135"/>
      <c r="AN84" s="135"/>
    </row>
    <row r="85" spans="1:40" s="90" customFormat="1" ht="33" customHeight="1">
      <c r="A85" s="257"/>
      <c r="B85" s="260"/>
      <c r="C85" s="263"/>
      <c r="D85" s="263"/>
      <c r="E85" s="263"/>
      <c r="F85" s="263"/>
      <c r="G85" s="266"/>
      <c r="H85" s="160"/>
      <c r="I85" s="244"/>
      <c r="J85" s="253"/>
      <c r="K85" s="244"/>
      <c r="L85" s="253"/>
      <c r="M85" s="247"/>
      <c r="N85" s="250"/>
      <c r="O85" s="253"/>
      <c r="P85" s="253"/>
      <c r="Q85" s="253"/>
      <c r="R85" s="253"/>
      <c r="S85" s="253"/>
      <c r="T85" s="253"/>
      <c r="U85" s="94" t="s">
        <v>214</v>
      </c>
      <c r="V85" s="83"/>
      <c r="W85" s="95"/>
      <c r="X85" s="83" t="s">
        <v>239</v>
      </c>
      <c r="Y85" s="95">
        <v>1.2</v>
      </c>
      <c r="Z85" s="85"/>
      <c r="AA85" s="86"/>
      <c r="AB85" s="87">
        <v>0</v>
      </c>
      <c r="AC85" s="88">
        <f t="shared" si="20"/>
        <v>0</v>
      </c>
      <c r="AD85" s="241"/>
      <c r="AE85" s="241"/>
      <c r="AF85" s="86"/>
      <c r="AL85" s="132"/>
      <c r="AM85" s="135"/>
      <c r="AN85" s="135"/>
    </row>
    <row r="86" spans="1:40" s="90" customFormat="1" ht="33" customHeight="1">
      <c r="A86" s="257"/>
      <c r="B86" s="260"/>
      <c r="C86" s="263"/>
      <c r="D86" s="263"/>
      <c r="E86" s="263"/>
      <c r="F86" s="263"/>
      <c r="G86" s="266"/>
      <c r="H86" s="160"/>
      <c r="I86" s="244"/>
      <c r="J86" s="253"/>
      <c r="K86" s="244"/>
      <c r="L86" s="253"/>
      <c r="M86" s="247"/>
      <c r="N86" s="250"/>
      <c r="O86" s="253"/>
      <c r="P86" s="253"/>
      <c r="Q86" s="253"/>
      <c r="R86" s="253"/>
      <c r="S86" s="253"/>
      <c r="T86" s="253"/>
      <c r="U86" s="102" t="s">
        <v>215</v>
      </c>
      <c r="V86" s="144"/>
      <c r="W86" s="160"/>
      <c r="X86" s="83" t="s">
        <v>38</v>
      </c>
      <c r="Y86" s="95">
        <v>44</v>
      </c>
      <c r="Z86" s="143"/>
      <c r="AA86" s="86"/>
      <c r="AB86" s="87">
        <v>0</v>
      </c>
      <c r="AC86" s="88">
        <f t="shared" si="20"/>
        <v>0</v>
      </c>
      <c r="AD86" s="241"/>
      <c r="AE86" s="241"/>
      <c r="AF86" s="86"/>
      <c r="AL86" s="132"/>
      <c r="AM86" s="135"/>
      <c r="AN86" s="135"/>
    </row>
    <row r="87" spans="1:40" s="90" customFormat="1" ht="33" customHeight="1">
      <c r="A87" s="258"/>
      <c r="B87" s="261"/>
      <c r="C87" s="264"/>
      <c r="D87" s="264"/>
      <c r="E87" s="264"/>
      <c r="F87" s="264"/>
      <c r="G87" s="267"/>
      <c r="H87" s="160"/>
      <c r="I87" s="245"/>
      <c r="J87" s="254"/>
      <c r="K87" s="245"/>
      <c r="L87" s="254"/>
      <c r="M87" s="248"/>
      <c r="N87" s="251"/>
      <c r="O87" s="254"/>
      <c r="P87" s="254"/>
      <c r="Q87" s="254"/>
      <c r="R87" s="254"/>
      <c r="S87" s="254"/>
      <c r="T87" s="254"/>
      <c r="U87" s="102" t="s">
        <v>216</v>
      </c>
      <c r="V87" s="144"/>
      <c r="W87" s="160"/>
      <c r="X87" s="83" t="s">
        <v>38</v>
      </c>
      <c r="Y87" s="95">
        <v>10</v>
      </c>
      <c r="Z87" s="85"/>
      <c r="AA87" s="86"/>
      <c r="AB87" s="87">
        <v>0</v>
      </c>
      <c r="AC87" s="88">
        <f t="shared" si="20"/>
        <v>0</v>
      </c>
      <c r="AD87" s="242"/>
      <c r="AE87" s="242"/>
      <c r="AF87" s="86"/>
      <c r="AL87" s="132" t="s">
        <v>171</v>
      </c>
      <c r="AM87" s="135"/>
      <c r="AN87" s="135"/>
    </row>
    <row r="88" spans="1:40" s="90" customFormat="1" ht="24" customHeight="1">
      <c r="A88" s="256">
        <v>7</v>
      </c>
      <c r="B88" s="259" t="s">
        <v>198</v>
      </c>
      <c r="C88" s="262">
        <v>64</v>
      </c>
      <c r="D88" s="262">
        <v>37</v>
      </c>
      <c r="E88" s="262">
        <v>599.79999999999995</v>
      </c>
      <c r="F88" s="262" t="s">
        <v>2</v>
      </c>
      <c r="G88" s="265">
        <v>600</v>
      </c>
      <c r="H88" s="262">
        <v>431.4</v>
      </c>
      <c r="I88" s="262">
        <f>E88-G88</f>
        <v>-0.20000000000004547</v>
      </c>
      <c r="J88" s="265">
        <f>G88+G96</f>
        <v>1162</v>
      </c>
      <c r="K88" s="262">
        <v>1162</v>
      </c>
      <c r="L88" s="262"/>
      <c r="M88" s="246">
        <f>J88/K88</f>
        <v>1</v>
      </c>
      <c r="N88" s="252">
        <f>IF(M88&lt;0.1,2,IF(M88&lt;0.2,3,IF(M88&lt;0.3,5,IF(M88&gt;=0.7,12,IF(M88&gt;=0.3,6)))))</f>
        <v>12</v>
      </c>
      <c r="O88" s="249">
        <v>4</v>
      </c>
      <c r="P88" s="249">
        <v>80000</v>
      </c>
      <c r="Q88" s="249">
        <f>J88*P88</f>
        <v>92960000</v>
      </c>
      <c r="R88" s="249">
        <f>Q88*3</f>
        <v>278880000</v>
      </c>
      <c r="S88" s="249">
        <f>N88*O88*S6</f>
        <v>24480000</v>
      </c>
      <c r="T88" s="249">
        <f>SUM(Q88:S94)</f>
        <v>396320000</v>
      </c>
      <c r="U88" s="82" t="s">
        <v>162</v>
      </c>
      <c r="V88" s="144">
        <v>25</v>
      </c>
      <c r="W88" s="160">
        <f>G88/V88</f>
        <v>24</v>
      </c>
      <c r="X88" s="144" t="s">
        <v>34</v>
      </c>
      <c r="Y88" s="84">
        <v>6</v>
      </c>
      <c r="Z88" s="143"/>
      <c r="AA88" s="144"/>
      <c r="AB88" s="87"/>
      <c r="AC88" s="88"/>
      <c r="AD88" s="269">
        <f>SUM(AC88:AC99)</f>
        <v>131250000</v>
      </c>
      <c r="AE88" s="269">
        <f>T88+AD88</f>
        <v>527570000</v>
      </c>
      <c r="AF88" s="89" t="s">
        <v>51</v>
      </c>
      <c r="AL88" s="132" t="s">
        <v>171</v>
      </c>
      <c r="AM88" s="135">
        <v>33048001225</v>
      </c>
      <c r="AN88" s="135"/>
    </row>
    <row r="89" spans="1:40" s="90" customFormat="1" ht="24" customHeight="1">
      <c r="A89" s="257"/>
      <c r="B89" s="260"/>
      <c r="C89" s="263"/>
      <c r="D89" s="263"/>
      <c r="E89" s="263"/>
      <c r="F89" s="263"/>
      <c r="G89" s="266"/>
      <c r="H89" s="263"/>
      <c r="I89" s="263"/>
      <c r="J89" s="266"/>
      <c r="K89" s="263"/>
      <c r="L89" s="263"/>
      <c r="M89" s="247"/>
      <c r="N89" s="253"/>
      <c r="O89" s="250"/>
      <c r="P89" s="250"/>
      <c r="Q89" s="250"/>
      <c r="R89" s="250"/>
      <c r="S89" s="250"/>
      <c r="T89" s="250"/>
      <c r="U89" s="91" t="s">
        <v>158</v>
      </c>
      <c r="V89" s="144"/>
      <c r="W89" s="160"/>
      <c r="X89" s="144" t="s">
        <v>34</v>
      </c>
      <c r="Y89" s="84">
        <v>6</v>
      </c>
      <c r="Z89" s="143">
        <v>4500000</v>
      </c>
      <c r="AA89" s="144"/>
      <c r="AB89" s="87">
        <v>1</v>
      </c>
      <c r="AC89" s="88">
        <f>Y89*Z89*AB89</f>
        <v>27000000</v>
      </c>
      <c r="AD89" s="270"/>
      <c r="AE89" s="270"/>
      <c r="AF89" s="89"/>
      <c r="AL89" s="132"/>
      <c r="AM89" s="135"/>
      <c r="AN89" s="135"/>
    </row>
    <row r="90" spans="1:40" s="90" customFormat="1" ht="24" customHeight="1">
      <c r="A90" s="257"/>
      <c r="B90" s="260"/>
      <c r="C90" s="263"/>
      <c r="D90" s="263"/>
      <c r="E90" s="263"/>
      <c r="F90" s="263"/>
      <c r="G90" s="266"/>
      <c r="H90" s="263"/>
      <c r="I90" s="263"/>
      <c r="J90" s="266"/>
      <c r="K90" s="263"/>
      <c r="L90" s="263"/>
      <c r="M90" s="247"/>
      <c r="N90" s="253"/>
      <c r="O90" s="250"/>
      <c r="P90" s="250"/>
      <c r="Q90" s="250"/>
      <c r="R90" s="250"/>
      <c r="S90" s="250"/>
      <c r="T90" s="250"/>
      <c r="U90" s="100" t="s">
        <v>167</v>
      </c>
      <c r="V90" s="92"/>
      <c r="W90" s="93"/>
      <c r="X90" s="144" t="s">
        <v>34</v>
      </c>
      <c r="Y90" s="84">
        <v>10</v>
      </c>
      <c r="Z90" s="85"/>
      <c r="AA90" s="86"/>
      <c r="AB90" s="87"/>
      <c r="AC90" s="88"/>
      <c r="AD90" s="270"/>
      <c r="AE90" s="270"/>
      <c r="AF90" s="89"/>
      <c r="AL90" s="132"/>
      <c r="AM90" s="135"/>
      <c r="AN90" s="135"/>
    </row>
    <row r="91" spans="1:40" s="90" customFormat="1" ht="24" customHeight="1">
      <c r="A91" s="257"/>
      <c r="B91" s="260"/>
      <c r="C91" s="263"/>
      <c r="D91" s="263"/>
      <c r="E91" s="263"/>
      <c r="F91" s="263"/>
      <c r="G91" s="266"/>
      <c r="H91" s="263"/>
      <c r="I91" s="263"/>
      <c r="J91" s="266"/>
      <c r="K91" s="263"/>
      <c r="L91" s="263"/>
      <c r="M91" s="247"/>
      <c r="N91" s="253"/>
      <c r="O91" s="250"/>
      <c r="P91" s="250"/>
      <c r="Q91" s="250"/>
      <c r="R91" s="250"/>
      <c r="S91" s="250"/>
      <c r="T91" s="250"/>
      <c r="U91" s="91" t="s">
        <v>158</v>
      </c>
      <c r="V91" s="92"/>
      <c r="W91" s="93"/>
      <c r="X91" s="144" t="s">
        <v>34</v>
      </c>
      <c r="Y91" s="84">
        <v>10</v>
      </c>
      <c r="Z91" s="143">
        <v>3850000</v>
      </c>
      <c r="AA91" s="86"/>
      <c r="AB91" s="87">
        <v>1</v>
      </c>
      <c r="AC91" s="88">
        <f t="shared" ref="AC91" si="21">Y91*Z91*AB91</f>
        <v>38500000</v>
      </c>
      <c r="AD91" s="270"/>
      <c r="AE91" s="270"/>
      <c r="AF91" s="89"/>
      <c r="AL91" s="132"/>
      <c r="AM91" s="135"/>
      <c r="AN91" s="135"/>
    </row>
    <row r="92" spans="1:40" s="90" customFormat="1" ht="24" customHeight="1">
      <c r="A92" s="257"/>
      <c r="B92" s="260"/>
      <c r="C92" s="263"/>
      <c r="D92" s="263"/>
      <c r="E92" s="263"/>
      <c r="F92" s="263"/>
      <c r="G92" s="266"/>
      <c r="H92" s="263"/>
      <c r="I92" s="263"/>
      <c r="J92" s="263"/>
      <c r="K92" s="263"/>
      <c r="L92" s="263"/>
      <c r="M92" s="247"/>
      <c r="N92" s="253"/>
      <c r="O92" s="250"/>
      <c r="P92" s="250"/>
      <c r="Q92" s="250"/>
      <c r="R92" s="250"/>
      <c r="S92" s="250"/>
      <c r="T92" s="250"/>
      <c r="U92" s="100" t="s">
        <v>199</v>
      </c>
      <c r="V92" s="92">
        <v>20</v>
      </c>
      <c r="W92" s="93">
        <f>G88/V92</f>
        <v>30</v>
      </c>
      <c r="X92" s="144" t="s">
        <v>34</v>
      </c>
      <c r="Y92" s="84">
        <v>2</v>
      </c>
      <c r="Z92" s="143"/>
      <c r="AA92" s="144"/>
      <c r="AB92" s="87"/>
      <c r="AC92" s="88"/>
      <c r="AD92" s="270"/>
      <c r="AE92" s="270"/>
      <c r="AF92" s="89"/>
      <c r="AL92" s="132" t="s">
        <v>171</v>
      </c>
      <c r="AM92" s="135"/>
      <c r="AN92" s="135"/>
    </row>
    <row r="93" spans="1:40" s="90" customFormat="1" ht="24" customHeight="1">
      <c r="A93" s="257"/>
      <c r="B93" s="260"/>
      <c r="C93" s="263"/>
      <c r="D93" s="263"/>
      <c r="E93" s="263"/>
      <c r="F93" s="263"/>
      <c r="G93" s="266"/>
      <c r="H93" s="263"/>
      <c r="I93" s="263"/>
      <c r="J93" s="263"/>
      <c r="K93" s="263"/>
      <c r="L93" s="264"/>
      <c r="M93" s="247"/>
      <c r="N93" s="253"/>
      <c r="O93" s="250"/>
      <c r="P93" s="250"/>
      <c r="Q93" s="250"/>
      <c r="R93" s="250"/>
      <c r="S93" s="250"/>
      <c r="T93" s="250"/>
      <c r="U93" s="91" t="s">
        <v>158</v>
      </c>
      <c r="V93" s="144"/>
      <c r="W93" s="160"/>
      <c r="X93" s="144" t="s">
        <v>34</v>
      </c>
      <c r="Y93" s="84">
        <v>2</v>
      </c>
      <c r="Z93" s="143">
        <v>3000000</v>
      </c>
      <c r="AA93" s="144"/>
      <c r="AB93" s="87">
        <v>0.5</v>
      </c>
      <c r="AC93" s="88">
        <f t="shared" ref="AC93" si="22">Y93*Z93*AB93</f>
        <v>3000000</v>
      </c>
      <c r="AD93" s="270"/>
      <c r="AE93" s="270"/>
      <c r="AF93" s="89"/>
      <c r="AL93" s="132" t="s">
        <v>171</v>
      </c>
      <c r="AM93" s="135"/>
      <c r="AN93" s="135"/>
    </row>
    <row r="94" spans="1:40" s="90" customFormat="1" ht="33.75" customHeight="1">
      <c r="A94" s="257"/>
      <c r="B94" s="260"/>
      <c r="C94" s="263"/>
      <c r="D94" s="263"/>
      <c r="E94" s="263"/>
      <c r="F94" s="263"/>
      <c r="G94" s="266"/>
      <c r="H94" s="263"/>
      <c r="I94" s="263"/>
      <c r="J94" s="263"/>
      <c r="K94" s="263"/>
      <c r="L94" s="144"/>
      <c r="M94" s="247"/>
      <c r="N94" s="253"/>
      <c r="O94" s="250"/>
      <c r="P94" s="250"/>
      <c r="Q94" s="250"/>
      <c r="R94" s="250"/>
      <c r="S94" s="250"/>
      <c r="T94" s="250"/>
      <c r="U94" s="82" t="s">
        <v>174</v>
      </c>
      <c r="V94" s="144">
        <v>4</v>
      </c>
      <c r="W94" s="160">
        <f>G88/V94</f>
        <v>150</v>
      </c>
      <c r="X94" s="144" t="s">
        <v>49</v>
      </c>
      <c r="Y94" s="84">
        <v>20</v>
      </c>
      <c r="Z94" s="143"/>
      <c r="AA94" s="144"/>
      <c r="AB94" s="87"/>
      <c r="AC94" s="88"/>
      <c r="AD94" s="270"/>
      <c r="AE94" s="270"/>
      <c r="AF94" s="89"/>
      <c r="AG94" s="143"/>
      <c r="AL94" s="132" t="s">
        <v>171</v>
      </c>
      <c r="AM94" s="135"/>
      <c r="AN94" s="135"/>
    </row>
    <row r="95" spans="1:40" s="90" customFormat="1" ht="24" customHeight="1">
      <c r="A95" s="257"/>
      <c r="B95" s="260"/>
      <c r="C95" s="263"/>
      <c r="D95" s="263"/>
      <c r="E95" s="263"/>
      <c r="F95" s="263"/>
      <c r="G95" s="266"/>
      <c r="H95" s="263"/>
      <c r="I95" s="263"/>
      <c r="J95" s="263"/>
      <c r="K95" s="263"/>
      <c r="L95" s="146"/>
      <c r="M95" s="247"/>
      <c r="N95" s="253"/>
      <c r="O95" s="250"/>
      <c r="P95" s="250"/>
      <c r="Q95" s="250"/>
      <c r="R95" s="250"/>
      <c r="S95" s="250"/>
      <c r="T95" s="250"/>
      <c r="U95" s="91" t="s">
        <v>158</v>
      </c>
      <c r="V95" s="92"/>
      <c r="W95" s="93"/>
      <c r="X95" s="144" t="s">
        <v>49</v>
      </c>
      <c r="Y95" s="84">
        <v>20</v>
      </c>
      <c r="Z95" s="143">
        <v>200000</v>
      </c>
      <c r="AA95" s="144"/>
      <c r="AB95" s="87">
        <v>0.5</v>
      </c>
      <c r="AC95" s="88">
        <f>Y95*Z95*AB95</f>
        <v>2000000</v>
      </c>
      <c r="AD95" s="270"/>
      <c r="AE95" s="270"/>
      <c r="AF95" s="89"/>
      <c r="AL95" s="132" t="s">
        <v>171</v>
      </c>
      <c r="AM95" s="135"/>
      <c r="AN95" s="135"/>
    </row>
    <row r="96" spans="1:40" s="90" customFormat="1" ht="24" customHeight="1">
      <c r="A96" s="257"/>
      <c r="B96" s="260"/>
      <c r="C96" s="263"/>
      <c r="D96" s="262">
        <v>717</v>
      </c>
      <c r="E96" s="262">
        <v>562</v>
      </c>
      <c r="F96" s="262" t="s">
        <v>2</v>
      </c>
      <c r="G96" s="265">
        <v>562</v>
      </c>
      <c r="H96" s="262">
        <v>431.4</v>
      </c>
      <c r="I96" s="262">
        <f>E96-G96</f>
        <v>0</v>
      </c>
      <c r="J96" s="263"/>
      <c r="K96" s="263"/>
      <c r="L96" s="146"/>
      <c r="M96" s="247"/>
      <c r="N96" s="253"/>
      <c r="O96" s="250"/>
      <c r="P96" s="250"/>
      <c r="Q96" s="250"/>
      <c r="R96" s="250"/>
      <c r="S96" s="250"/>
      <c r="T96" s="250"/>
      <c r="U96" s="82" t="s">
        <v>217</v>
      </c>
      <c r="V96" s="144">
        <v>16</v>
      </c>
      <c r="W96" s="160">
        <f>G96/V96</f>
        <v>35.125</v>
      </c>
      <c r="X96" s="144" t="s">
        <v>34</v>
      </c>
      <c r="Y96" s="84">
        <v>180</v>
      </c>
      <c r="Z96" s="143"/>
      <c r="AA96" s="144"/>
      <c r="AB96" s="87"/>
      <c r="AC96" s="88"/>
      <c r="AD96" s="270"/>
      <c r="AE96" s="270"/>
      <c r="AF96" s="89" t="s">
        <v>159</v>
      </c>
      <c r="AL96" s="132" t="s">
        <v>171</v>
      </c>
      <c r="AM96" s="135"/>
      <c r="AN96" s="135"/>
    </row>
    <row r="97" spans="1:40" s="90" customFormat="1" ht="24" customHeight="1">
      <c r="A97" s="257"/>
      <c r="B97" s="260"/>
      <c r="C97" s="263"/>
      <c r="D97" s="263"/>
      <c r="E97" s="263"/>
      <c r="F97" s="263"/>
      <c r="G97" s="266"/>
      <c r="H97" s="263"/>
      <c r="I97" s="263"/>
      <c r="J97" s="263"/>
      <c r="K97" s="263"/>
      <c r="L97" s="146"/>
      <c r="M97" s="247"/>
      <c r="N97" s="253"/>
      <c r="O97" s="250"/>
      <c r="P97" s="250"/>
      <c r="Q97" s="250"/>
      <c r="R97" s="250"/>
      <c r="S97" s="250"/>
      <c r="T97" s="250"/>
      <c r="U97" s="91" t="s">
        <v>158</v>
      </c>
      <c r="V97" s="144"/>
      <c r="W97" s="160"/>
      <c r="X97" s="144" t="s">
        <v>34</v>
      </c>
      <c r="Y97" s="84">
        <v>35</v>
      </c>
      <c r="Z97" s="85">
        <v>1500000</v>
      </c>
      <c r="AA97" s="144"/>
      <c r="AB97" s="87">
        <v>1</v>
      </c>
      <c r="AC97" s="88">
        <f t="shared" ref="AC97:AC98" si="23">Y97*Z97*AB97</f>
        <v>52500000</v>
      </c>
      <c r="AD97" s="270"/>
      <c r="AE97" s="270"/>
      <c r="AF97" s="89"/>
      <c r="AL97" s="132" t="s">
        <v>171</v>
      </c>
      <c r="AM97" s="135"/>
      <c r="AN97" s="135"/>
    </row>
    <row r="98" spans="1:40" s="90" customFormat="1" ht="24" customHeight="1">
      <c r="A98" s="257"/>
      <c r="B98" s="260"/>
      <c r="C98" s="263"/>
      <c r="D98" s="263"/>
      <c r="E98" s="263"/>
      <c r="F98" s="263"/>
      <c r="G98" s="266"/>
      <c r="H98" s="263"/>
      <c r="I98" s="263"/>
      <c r="J98" s="263"/>
      <c r="K98" s="263"/>
      <c r="L98" s="146"/>
      <c r="M98" s="247"/>
      <c r="N98" s="253"/>
      <c r="O98" s="250"/>
      <c r="P98" s="250"/>
      <c r="Q98" s="250"/>
      <c r="R98" s="250"/>
      <c r="S98" s="250"/>
      <c r="T98" s="250"/>
      <c r="U98" s="91" t="s">
        <v>164</v>
      </c>
      <c r="V98" s="92"/>
      <c r="W98" s="93">
        <f>W96*0.3</f>
        <v>10.5375</v>
      </c>
      <c r="X98" s="144" t="s">
        <v>34</v>
      </c>
      <c r="Y98" s="84">
        <v>11</v>
      </c>
      <c r="Z98" s="85">
        <v>1500000</v>
      </c>
      <c r="AA98" s="86"/>
      <c r="AB98" s="87">
        <v>0.5</v>
      </c>
      <c r="AC98" s="88">
        <f t="shared" si="23"/>
        <v>8250000</v>
      </c>
      <c r="AD98" s="270"/>
      <c r="AE98" s="270"/>
      <c r="AF98" s="89"/>
      <c r="AL98" s="132"/>
      <c r="AM98" s="135"/>
      <c r="AN98" s="135"/>
    </row>
    <row r="99" spans="1:40" s="90" customFormat="1" ht="24" customHeight="1">
      <c r="A99" s="258"/>
      <c r="B99" s="261"/>
      <c r="C99" s="264"/>
      <c r="D99" s="264"/>
      <c r="E99" s="264"/>
      <c r="F99" s="264"/>
      <c r="G99" s="267"/>
      <c r="H99" s="264"/>
      <c r="I99" s="264"/>
      <c r="J99" s="264"/>
      <c r="K99" s="264"/>
      <c r="L99" s="144"/>
      <c r="M99" s="248"/>
      <c r="N99" s="254"/>
      <c r="O99" s="251"/>
      <c r="P99" s="251"/>
      <c r="Q99" s="251"/>
      <c r="R99" s="251"/>
      <c r="S99" s="251"/>
      <c r="T99" s="251"/>
      <c r="U99" s="91" t="s">
        <v>165</v>
      </c>
      <c r="V99" s="144"/>
      <c r="W99" s="160"/>
      <c r="X99" s="144" t="s">
        <v>34</v>
      </c>
      <c r="Y99" s="84">
        <v>134</v>
      </c>
      <c r="Z99" s="85">
        <v>1500000</v>
      </c>
      <c r="AA99" s="144"/>
      <c r="AB99" s="87">
        <v>0</v>
      </c>
      <c r="AC99" s="88">
        <f t="shared" ref="AC99" si="24">Y99*Z99*AB99</f>
        <v>0</v>
      </c>
      <c r="AD99" s="270"/>
      <c r="AE99" s="270"/>
      <c r="AF99" s="89"/>
      <c r="AL99" s="132" t="s">
        <v>171</v>
      </c>
      <c r="AM99" s="135"/>
      <c r="AN99" s="135"/>
    </row>
    <row r="100" spans="1:40" s="110" customFormat="1" ht="34.5" customHeight="1">
      <c r="A100" s="152"/>
      <c r="B100" s="153" t="s">
        <v>53</v>
      </c>
      <c r="C100" s="154"/>
      <c r="D100" s="154"/>
      <c r="E100" s="154"/>
      <c r="F100" s="154"/>
      <c r="G100" s="103"/>
      <c r="H100" s="104"/>
      <c r="I100" s="105"/>
      <c r="J100" s="141"/>
      <c r="K100" s="149"/>
      <c r="L100" s="152"/>
      <c r="M100" s="106"/>
      <c r="N100" s="142"/>
      <c r="O100" s="142"/>
      <c r="P100" s="142"/>
      <c r="Q100" s="142"/>
      <c r="R100" s="142"/>
      <c r="S100" s="142"/>
      <c r="T100" s="156"/>
      <c r="U100" s="107"/>
      <c r="V100" s="67"/>
      <c r="W100" s="78"/>
      <c r="X100" s="67"/>
      <c r="Y100" s="71"/>
      <c r="Z100" s="69"/>
      <c r="AA100" s="67"/>
      <c r="AB100" s="108"/>
      <c r="AC100" s="70"/>
      <c r="AD100" s="142"/>
      <c r="AE100" s="156"/>
      <c r="AF100" s="109"/>
      <c r="AL100" s="132" t="s">
        <v>171</v>
      </c>
      <c r="AM100" s="136"/>
      <c r="AN100" s="136"/>
    </row>
    <row r="101" spans="1:40" s="90" customFormat="1" ht="34.9" customHeight="1">
      <c r="A101" s="256">
        <v>8</v>
      </c>
      <c r="B101" s="259" t="s">
        <v>201</v>
      </c>
      <c r="C101" s="262">
        <v>62</v>
      </c>
      <c r="D101" s="262">
        <v>419</v>
      </c>
      <c r="E101" s="262">
        <v>737.4</v>
      </c>
      <c r="F101" s="262" t="s">
        <v>2</v>
      </c>
      <c r="G101" s="265">
        <v>720</v>
      </c>
      <c r="H101" s="160"/>
      <c r="I101" s="243">
        <f>E101-G101</f>
        <v>17.399999999999977</v>
      </c>
      <c r="J101" s="243">
        <f>G101+G105</f>
        <v>1004</v>
      </c>
      <c r="K101" s="243">
        <v>1004</v>
      </c>
      <c r="L101" s="252"/>
      <c r="M101" s="246">
        <f>J101/K101</f>
        <v>1</v>
      </c>
      <c r="N101" s="249">
        <f>IF(M101&lt;0.1,2,IF(M101&lt;0.2,3,IF(M101&lt;0.3,5,IF(M101&gt;=0.7,12,IF(M101&gt;=0.3,6)))))</f>
        <v>12</v>
      </c>
      <c r="O101" s="252">
        <v>4</v>
      </c>
      <c r="P101" s="252">
        <v>80000</v>
      </c>
      <c r="Q101" s="252">
        <f>J101*P101</f>
        <v>80320000</v>
      </c>
      <c r="R101" s="252">
        <f>Q101*3</f>
        <v>240960000</v>
      </c>
      <c r="S101" s="252">
        <f>N101*O101*S6</f>
        <v>24480000</v>
      </c>
      <c r="T101" s="303">
        <f>SUM(Q101:S105)</f>
        <v>345760000</v>
      </c>
      <c r="U101" s="82" t="s">
        <v>160</v>
      </c>
      <c r="V101" s="144"/>
      <c r="W101" s="160"/>
      <c r="X101" s="144" t="s">
        <v>38</v>
      </c>
      <c r="Y101" s="84">
        <v>940</v>
      </c>
      <c r="Z101" s="150">
        <v>200000</v>
      </c>
      <c r="AA101" s="150"/>
      <c r="AB101" s="111">
        <v>1</v>
      </c>
      <c r="AC101" s="88">
        <f>Y101*Z101*AB101</f>
        <v>188000000</v>
      </c>
      <c r="AD101" s="240">
        <f>SUM(AC101:AC105)</f>
        <v>188000000</v>
      </c>
      <c r="AE101" s="240">
        <f>T101+AD101</f>
        <v>533760000</v>
      </c>
      <c r="AF101" s="99"/>
      <c r="AL101" s="132" t="s">
        <v>171</v>
      </c>
      <c r="AM101" s="135">
        <v>33057004370</v>
      </c>
      <c r="AN101" s="135"/>
    </row>
    <row r="102" spans="1:40" s="90" customFormat="1" ht="29.25" customHeight="1">
      <c r="A102" s="257"/>
      <c r="B102" s="260"/>
      <c r="C102" s="263"/>
      <c r="D102" s="263"/>
      <c r="E102" s="263"/>
      <c r="F102" s="263"/>
      <c r="G102" s="266"/>
      <c r="H102" s="160"/>
      <c r="I102" s="244"/>
      <c r="J102" s="244"/>
      <c r="K102" s="244"/>
      <c r="L102" s="253"/>
      <c r="M102" s="247"/>
      <c r="N102" s="250"/>
      <c r="O102" s="253"/>
      <c r="P102" s="253"/>
      <c r="Q102" s="253"/>
      <c r="R102" s="253"/>
      <c r="S102" s="253"/>
      <c r="T102" s="303"/>
      <c r="U102" s="82" t="s">
        <v>163</v>
      </c>
      <c r="V102" s="144"/>
      <c r="W102" s="160"/>
      <c r="X102" s="144" t="s">
        <v>36</v>
      </c>
      <c r="Y102" s="84">
        <v>1</v>
      </c>
      <c r="Z102" s="143"/>
      <c r="AA102" s="86"/>
      <c r="AB102" s="87">
        <v>0</v>
      </c>
      <c r="AC102" s="88">
        <f t="shared" ref="AC102" si="25">Y102*Z102*AB102</f>
        <v>0</v>
      </c>
      <c r="AD102" s="241"/>
      <c r="AE102" s="241"/>
      <c r="AF102" s="86"/>
      <c r="AL102" s="132" t="s">
        <v>171</v>
      </c>
      <c r="AM102" s="135"/>
      <c r="AN102" s="135"/>
    </row>
    <row r="103" spans="1:40" s="90" customFormat="1" ht="38.25" customHeight="1">
      <c r="A103" s="257"/>
      <c r="B103" s="260"/>
      <c r="C103" s="263"/>
      <c r="D103" s="263"/>
      <c r="E103" s="263"/>
      <c r="F103" s="263"/>
      <c r="G103" s="266"/>
      <c r="H103" s="160"/>
      <c r="I103" s="244"/>
      <c r="J103" s="244"/>
      <c r="K103" s="244"/>
      <c r="L103" s="253"/>
      <c r="M103" s="247"/>
      <c r="N103" s="250"/>
      <c r="O103" s="253"/>
      <c r="P103" s="253"/>
      <c r="Q103" s="253"/>
      <c r="R103" s="253"/>
      <c r="S103" s="253"/>
      <c r="T103" s="303"/>
      <c r="U103" s="91" t="s">
        <v>235</v>
      </c>
      <c r="V103" s="144"/>
      <c r="W103" s="160"/>
      <c r="X103" s="144" t="s">
        <v>38</v>
      </c>
      <c r="Y103" s="84">
        <v>1229</v>
      </c>
      <c r="Z103" s="85"/>
      <c r="AA103" s="86"/>
      <c r="AB103" s="87">
        <v>0</v>
      </c>
      <c r="AC103" s="88">
        <f t="shared" ref="AC103" si="26">Y103*Z103*AB103</f>
        <v>0</v>
      </c>
      <c r="AD103" s="241"/>
      <c r="AE103" s="241"/>
      <c r="AF103" s="86"/>
      <c r="AL103" s="132" t="s">
        <v>171</v>
      </c>
      <c r="AM103" s="135"/>
      <c r="AN103" s="135"/>
    </row>
    <row r="104" spans="1:40" s="90" customFormat="1" ht="42" customHeight="1">
      <c r="A104" s="257"/>
      <c r="B104" s="261"/>
      <c r="C104" s="263"/>
      <c r="D104" s="263"/>
      <c r="E104" s="263"/>
      <c r="F104" s="263"/>
      <c r="G104" s="266"/>
      <c r="H104" s="160"/>
      <c r="I104" s="244"/>
      <c r="J104" s="244"/>
      <c r="K104" s="244"/>
      <c r="L104" s="253"/>
      <c r="M104" s="247"/>
      <c r="N104" s="250"/>
      <c r="O104" s="253"/>
      <c r="P104" s="253"/>
      <c r="Q104" s="253"/>
      <c r="R104" s="253"/>
      <c r="S104" s="253"/>
      <c r="T104" s="303"/>
      <c r="U104" s="82" t="s">
        <v>203</v>
      </c>
      <c r="V104" s="144"/>
      <c r="W104" s="160"/>
      <c r="X104" s="144" t="s">
        <v>38</v>
      </c>
      <c r="Y104" s="84">
        <v>200</v>
      </c>
      <c r="Z104" s="85"/>
      <c r="AA104" s="86"/>
      <c r="AB104" s="87">
        <v>0</v>
      </c>
      <c r="AC104" s="88">
        <f t="shared" ref="AC104:AC106" si="27">Y104*Z104*AB104</f>
        <v>0</v>
      </c>
      <c r="AD104" s="241"/>
      <c r="AE104" s="241"/>
      <c r="AF104" s="86"/>
      <c r="AL104" s="132" t="s">
        <v>171</v>
      </c>
      <c r="AM104" s="135"/>
      <c r="AN104" s="135"/>
    </row>
    <row r="105" spans="1:40" s="90" customFormat="1" ht="69.75" customHeight="1">
      <c r="A105" s="257"/>
      <c r="B105" s="145" t="s">
        <v>200</v>
      </c>
      <c r="C105" s="263"/>
      <c r="D105" s="146">
        <v>428</v>
      </c>
      <c r="E105" s="146">
        <v>284.10000000000002</v>
      </c>
      <c r="F105" s="146" t="s">
        <v>2</v>
      </c>
      <c r="G105" s="148">
        <v>284</v>
      </c>
      <c r="H105" s="160"/>
      <c r="I105" s="138">
        <v>0</v>
      </c>
      <c r="J105" s="244"/>
      <c r="K105" s="244"/>
      <c r="L105" s="140"/>
      <c r="M105" s="247"/>
      <c r="N105" s="250"/>
      <c r="O105" s="253"/>
      <c r="P105" s="253"/>
      <c r="Q105" s="253"/>
      <c r="R105" s="253"/>
      <c r="S105" s="253"/>
      <c r="T105" s="303"/>
      <c r="U105" s="99" t="s">
        <v>202</v>
      </c>
      <c r="V105" s="92"/>
      <c r="W105" s="93"/>
      <c r="X105" s="83" t="s">
        <v>239</v>
      </c>
      <c r="Y105" s="95">
        <v>16</v>
      </c>
      <c r="Z105" s="85"/>
      <c r="AA105" s="86"/>
      <c r="AB105" s="87">
        <v>0</v>
      </c>
      <c r="AC105" s="88">
        <f t="shared" si="27"/>
        <v>0</v>
      </c>
      <c r="AD105" s="241"/>
      <c r="AE105" s="241"/>
      <c r="AF105" s="99"/>
      <c r="AL105" s="132" t="s">
        <v>171</v>
      </c>
      <c r="AM105" s="135"/>
      <c r="AN105" s="135"/>
    </row>
    <row r="106" spans="1:40" s="90" customFormat="1" ht="28.5" customHeight="1">
      <c r="A106" s="256">
        <v>9</v>
      </c>
      <c r="B106" s="271" t="s">
        <v>218</v>
      </c>
      <c r="C106" s="262">
        <v>62</v>
      </c>
      <c r="D106" s="262">
        <v>269</v>
      </c>
      <c r="E106" s="262">
        <v>1094.0999999999999</v>
      </c>
      <c r="F106" s="262" t="s">
        <v>2</v>
      </c>
      <c r="G106" s="265">
        <v>1080</v>
      </c>
      <c r="H106" s="160"/>
      <c r="I106" s="243">
        <f>E106-G106</f>
        <v>14.099999999999909</v>
      </c>
      <c r="J106" s="252">
        <f>G106</f>
        <v>1080</v>
      </c>
      <c r="K106" s="243">
        <v>1080</v>
      </c>
      <c r="L106" s="86"/>
      <c r="M106" s="246">
        <f>J106/K106</f>
        <v>1</v>
      </c>
      <c r="N106" s="249">
        <f>IF(M106&lt;0.1,2,IF(M106&lt;0.2,3,IF(M106&lt;0.3,5,IF(M106&gt;=0.7,12,IF(M106&gt;=0.3,6)))))</f>
        <v>12</v>
      </c>
      <c r="O106" s="252">
        <v>4</v>
      </c>
      <c r="P106" s="252">
        <v>80000</v>
      </c>
      <c r="Q106" s="252">
        <f>J106*P106</f>
        <v>86400000</v>
      </c>
      <c r="R106" s="252">
        <f>Q106*3</f>
        <v>259200000</v>
      </c>
      <c r="S106" s="252">
        <f>N106*O106*S6</f>
        <v>24480000</v>
      </c>
      <c r="T106" s="255">
        <f>SUM(Q106:S110)</f>
        <v>370080000</v>
      </c>
      <c r="U106" s="82" t="s">
        <v>162</v>
      </c>
      <c r="V106" s="144">
        <v>25</v>
      </c>
      <c r="W106" s="160">
        <f>G106/V106</f>
        <v>43.2</v>
      </c>
      <c r="X106" s="144" t="s">
        <v>34</v>
      </c>
      <c r="Y106" s="84">
        <v>27</v>
      </c>
      <c r="Z106" s="143"/>
      <c r="AA106" s="144"/>
      <c r="AB106" s="87"/>
      <c r="AC106" s="88">
        <f t="shared" si="27"/>
        <v>0</v>
      </c>
      <c r="AD106" s="240">
        <f>SUM(AC106:AC110)</f>
        <v>160000000</v>
      </c>
      <c r="AE106" s="240">
        <f>T106+AD106</f>
        <v>530080000</v>
      </c>
      <c r="AF106" s="99" t="s">
        <v>220</v>
      </c>
      <c r="AL106" s="132" t="s">
        <v>171</v>
      </c>
      <c r="AM106" s="135"/>
      <c r="AN106" s="135"/>
    </row>
    <row r="107" spans="1:40" s="90" customFormat="1" ht="28.5" customHeight="1">
      <c r="A107" s="257"/>
      <c r="B107" s="272"/>
      <c r="C107" s="263"/>
      <c r="D107" s="263"/>
      <c r="E107" s="263"/>
      <c r="F107" s="263"/>
      <c r="G107" s="266"/>
      <c r="H107" s="160"/>
      <c r="I107" s="244"/>
      <c r="J107" s="253"/>
      <c r="K107" s="244"/>
      <c r="L107" s="86"/>
      <c r="M107" s="247"/>
      <c r="N107" s="250"/>
      <c r="O107" s="253"/>
      <c r="P107" s="253"/>
      <c r="Q107" s="253"/>
      <c r="R107" s="253"/>
      <c r="S107" s="253"/>
      <c r="T107" s="255"/>
      <c r="U107" s="91" t="s">
        <v>158</v>
      </c>
      <c r="V107" s="144"/>
      <c r="W107" s="160"/>
      <c r="X107" s="144" t="s">
        <v>34</v>
      </c>
      <c r="Y107" s="84">
        <v>27</v>
      </c>
      <c r="Z107" s="143">
        <v>4500000</v>
      </c>
      <c r="AA107" s="144"/>
      <c r="AB107" s="87">
        <v>1</v>
      </c>
      <c r="AC107" s="88">
        <f>Y107*Z107*AB107</f>
        <v>121500000</v>
      </c>
      <c r="AD107" s="241"/>
      <c r="AE107" s="241"/>
      <c r="AF107" s="86"/>
      <c r="AL107" s="132" t="s">
        <v>171</v>
      </c>
      <c r="AM107" s="135"/>
      <c r="AN107" s="135"/>
    </row>
    <row r="108" spans="1:40" s="90" customFormat="1" ht="28.5" customHeight="1">
      <c r="A108" s="257"/>
      <c r="B108" s="272"/>
      <c r="C108" s="263"/>
      <c r="D108" s="263"/>
      <c r="E108" s="263"/>
      <c r="F108" s="263"/>
      <c r="G108" s="266"/>
      <c r="H108" s="160"/>
      <c r="I108" s="244"/>
      <c r="J108" s="253"/>
      <c r="K108" s="244"/>
      <c r="L108" s="86"/>
      <c r="M108" s="247"/>
      <c r="N108" s="250"/>
      <c r="O108" s="253"/>
      <c r="P108" s="253"/>
      <c r="Q108" s="253"/>
      <c r="R108" s="253"/>
      <c r="S108" s="253"/>
      <c r="T108" s="255"/>
      <c r="U108" s="100" t="s">
        <v>167</v>
      </c>
      <c r="V108" s="92"/>
      <c r="W108" s="93"/>
      <c r="X108" s="144" t="s">
        <v>34</v>
      </c>
      <c r="Y108" s="84">
        <v>10</v>
      </c>
      <c r="Z108" s="143"/>
      <c r="AA108" s="86"/>
      <c r="AB108" s="87"/>
      <c r="AC108" s="88">
        <f t="shared" ref="AC108" si="28">Y108*Z108*AB108</f>
        <v>0</v>
      </c>
      <c r="AD108" s="241"/>
      <c r="AE108" s="241"/>
      <c r="AF108" s="86"/>
      <c r="AL108" s="132" t="s">
        <v>171</v>
      </c>
      <c r="AM108" s="135"/>
      <c r="AN108" s="135"/>
    </row>
    <row r="109" spans="1:40" s="90" customFormat="1" ht="28.5" customHeight="1">
      <c r="A109" s="257"/>
      <c r="B109" s="272"/>
      <c r="C109" s="263"/>
      <c r="D109" s="263"/>
      <c r="E109" s="263"/>
      <c r="F109" s="263"/>
      <c r="G109" s="266"/>
      <c r="H109" s="160"/>
      <c r="I109" s="244"/>
      <c r="J109" s="253"/>
      <c r="K109" s="244"/>
      <c r="L109" s="86"/>
      <c r="M109" s="247"/>
      <c r="N109" s="250"/>
      <c r="O109" s="253"/>
      <c r="P109" s="253"/>
      <c r="Q109" s="253"/>
      <c r="R109" s="253"/>
      <c r="S109" s="253"/>
      <c r="T109" s="255"/>
      <c r="U109" s="91" t="s">
        <v>158</v>
      </c>
      <c r="V109" s="92"/>
      <c r="W109" s="93"/>
      <c r="X109" s="144" t="s">
        <v>34</v>
      </c>
      <c r="Y109" s="84">
        <v>10</v>
      </c>
      <c r="Z109" s="143">
        <v>3850000</v>
      </c>
      <c r="AA109" s="86"/>
      <c r="AB109" s="87">
        <v>1</v>
      </c>
      <c r="AC109" s="88">
        <f t="shared" ref="AC109" si="29">Y109*Z109*AB109</f>
        <v>38500000</v>
      </c>
      <c r="AD109" s="241"/>
      <c r="AE109" s="241"/>
      <c r="AF109" s="86"/>
      <c r="AL109" s="132"/>
      <c r="AM109" s="135"/>
      <c r="AN109" s="135"/>
    </row>
    <row r="110" spans="1:40" s="90" customFormat="1" ht="60.75" customHeight="1">
      <c r="A110" s="258"/>
      <c r="B110" s="273"/>
      <c r="C110" s="264"/>
      <c r="D110" s="264"/>
      <c r="E110" s="264"/>
      <c r="F110" s="264"/>
      <c r="G110" s="267"/>
      <c r="H110" s="160"/>
      <c r="I110" s="245"/>
      <c r="J110" s="254"/>
      <c r="K110" s="245"/>
      <c r="L110" s="86"/>
      <c r="M110" s="248"/>
      <c r="N110" s="251"/>
      <c r="O110" s="254"/>
      <c r="P110" s="254"/>
      <c r="Q110" s="254"/>
      <c r="R110" s="254"/>
      <c r="S110" s="254"/>
      <c r="T110" s="268"/>
      <c r="U110" s="99" t="s">
        <v>236</v>
      </c>
      <c r="V110" s="92"/>
      <c r="W110" s="93"/>
      <c r="X110" s="83" t="s">
        <v>38</v>
      </c>
      <c r="Y110" s="95">
        <v>278.72000000000003</v>
      </c>
      <c r="Z110" s="143"/>
      <c r="AA110" s="86"/>
      <c r="AB110" s="87">
        <v>0</v>
      </c>
      <c r="AC110" s="88">
        <f>Y110*Z110*AB110</f>
        <v>0</v>
      </c>
      <c r="AD110" s="242"/>
      <c r="AE110" s="242"/>
      <c r="AF110" s="86"/>
      <c r="AL110" s="132" t="s">
        <v>171</v>
      </c>
      <c r="AM110" s="135"/>
      <c r="AN110" s="135"/>
    </row>
    <row r="111" spans="1:40" s="90" customFormat="1" ht="36" customHeight="1">
      <c r="A111" s="256">
        <v>10</v>
      </c>
      <c r="B111" s="259" t="s">
        <v>219</v>
      </c>
      <c r="C111" s="262">
        <v>64</v>
      </c>
      <c r="D111" s="262">
        <v>105</v>
      </c>
      <c r="E111" s="262">
        <v>467.7</v>
      </c>
      <c r="F111" s="262" t="s">
        <v>2</v>
      </c>
      <c r="G111" s="265">
        <v>612</v>
      </c>
      <c r="H111" s="160"/>
      <c r="I111" s="243">
        <f>E111-G111</f>
        <v>-144.30000000000001</v>
      </c>
      <c r="J111" s="252">
        <v>467.7</v>
      </c>
      <c r="K111" s="243">
        <v>612</v>
      </c>
      <c r="L111" s="86"/>
      <c r="M111" s="246">
        <f>J111/K111</f>
        <v>0.76421568627450975</v>
      </c>
      <c r="N111" s="249">
        <f>IF(M111&lt;0.1,2,IF(M111&lt;0.2,3,IF(M111&lt;0.3,5,IF(M111&gt;=0.7,12,IF(M111&gt;=0.3,6)))))</f>
        <v>12</v>
      </c>
      <c r="O111" s="252">
        <v>3</v>
      </c>
      <c r="P111" s="252">
        <v>80000</v>
      </c>
      <c r="Q111" s="252">
        <f>J111*P111</f>
        <v>37416000</v>
      </c>
      <c r="R111" s="252">
        <f>Q111*3</f>
        <v>112248000</v>
      </c>
      <c r="S111" s="252">
        <f>N111*O111*S6</f>
        <v>18360000</v>
      </c>
      <c r="T111" s="255">
        <f>SUM(Q111:S113)</f>
        <v>168024000</v>
      </c>
      <c r="U111" s="82" t="s">
        <v>175</v>
      </c>
      <c r="V111" s="144"/>
      <c r="W111" s="160"/>
      <c r="X111" s="83" t="s">
        <v>38</v>
      </c>
      <c r="Y111" s="84">
        <v>467.7</v>
      </c>
      <c r="Z111" s="85">
        <v>180000</v>
      </c>
      <c r="AA111" s="86"/>
      <c r="AB111" s="87">
        <v>1</v>
      </c>
      <c r="AC111" s="88">
        <f t="shared" ref="AC111" si="30">Y111*Z111*AB111</f>
        <v>84186000</v>
      </c>
      <c r="AD111" s="240">
        <f>SUM(AC111:AC113)</f>
        <v>84186000</v>
      </c>
      <c r="AE111" s="240">
        <f>T111+AD111</f>
        <v>252210000</v>
      </c>
      <c r="AF111" s="99"/>
      <c r="AL111" s="132" t="s">
        <v>171</v>
      </c>
      <c r="AM111" s="135"/>
      <c r="AN111" s="135"/>
    </row>
    <row r="112" spans="1:40" s="90" customFormat="1" ht="37.5" customHeight="1">
      <c r="A112" s="257"/>
      <c r="B112" s="260"/>
      <c r="C112" s="263"/>
      <c r="D112" s="263"/>
      <c r="E112" s="263"/>
      <c r="F112" s="263"/>
      <c r="G112" s="266"/>
      <c r="H112" s="160"/>
      <c r="I112" s="244"/>
      <c r="J112" s="253"/>
      <c r="K112" s="244"/>
      <c r="L112" s="86"/>
      <c r="M112" s="247"/>
      <c r="N112" s="250"/>
      <c r="O112" s="253"/>
      <c r="P112" s="253"/>
      <c r="Q112" s="253"/>
      <c r="R112" s="253"/>
      <c r="S112" s="253"/>
      <c r="T112" s="255"/>
      <c r="U112" s="94" t="s">
        <v>163</v>
      </c>
      <c r="V112" s="144"/>
      <c r="W112" s="160"/>
      <c r="X112" s="83" t="s">
        <v>36</v>
      </c>
      <c r="Y112" s="95">
        <v>1</v>
      </c>
      <c r="Z112" s="143"/>
      <c r="AA112" s="144"/>
      <c r="AB112" s="87">
        <v>0</v>
      </c>
      <c r="AC112" s="88">
        <f>Y112*Z112*AB112</f>
        <v>0</v>
      </c>
      <c r="AD112" s="241"/>
      <c r="AE112" s="241"/>
      <c r="AF112" s="86"/>
      <c r="AL112" s="132" t="s">
        <v>171</v>
      </c>
      <c r="AM112" s="135"/>
      <c r="AN112" s="135"/>
    </row>
    <row r="113" spans="1:40" s="90" customFormat="1" ht="37.5" customHeight="1">
      <c r="A113" s="258"/>
      <c r="B113" s="261"/>
      <c r="C113" s="264"/>
      <c r="D113" s="264"/>
      <c r="E113" s="264"/>
      <c r="F113" s="264"/>
      <c r="G113" s="267"/>
      <c r="H113" s="160"/>
      <c r="I113" s="245"/>
      <c r="J113" s="254"/>
      <c r="K113" s="245"/>
      <c r="L113" s="86"/>
      <c r="M113" s="248"/>
      <c r="N113" s="251"/>
      <c r="O113" s="254"/>
      <c r="P113" s="254"/>
      <c r="Q113" s="254"/>
      <c r="R113" s="254"/>
      <c r="S113" s="254"/>
      <c r="T113" s="255"/>
      <c r="U113" s="158" t="s">
        <v>237</v>
      </c>
      <c r="V113" s="92"/>
      <c r="W113" s="93"/>
      <c r="X113" s="83" t="s">
        <v>38</v>
      </c>
      <c r="Y113" s="95">
        <v>29.9</v>
      </c>
      <c r="Z113" s="143"/>
      <c r="AA113" s="86"/>
      <c r="AB113" s="87">
        <v>0</v>
      </c>
      <c r="AC113" s="88">
        <f>Y113*Z113*AB113</f>
        <v>0</v>
      </c>
      <c r="AD113" s="242"/>
      <c r="AE113" s="242"/>
      <c r="AF113" s="86"/>
      <c r="AL113" s="132" t="s">
        <v>171</v>
      </c>
      <c r="AM113" s="135"/>
      <c r="AN113" s="135"/>
    </row>
    <row r="114" spans="1:40" s="90" customFormat="1" ht="28.5" customHeight="1">
      <c r="A114" s="256">
        <v>11</v>
      </c>
      <c r="B114" s="259" t="s">
        <v>221</v>
      </c>
      <c r="C114" s="262">
        <v>64</v>
      </c>
      <c r="D114" s="262">
        <v>109</v>
      </c>
      <c r="E114" s="262">
        <v>218.2</v>
      </c>
      <c r="F114" s="262" t="s">
        <v>2</v>
      </c>
      <c r="G114" s="265">
        <v>324</v>
      </c>
      <c r="H114" s="160"/>
      <c r="I114" s="243">
        <f>E114-G114</f>
        <v>-105.80000000000001</v>
      </c>
      <c r="J114" s="243">
        <v>218.2</v>
      </c>
      <c r="K114" s="243">
        <v>2134</v>
      </c>
      <c r="L114" s="86"/>
      <c r="M114" s="246">
        <f>J114/K114</f>
        <v>0.10224929709465791</v>
      </c>
      <c r="N114" s="249">
        <f>IF(M114&lt;0.1,2,IF(M114&lt;0.2,3,IF(M114&lt;0.3,5,IF(M114&gt;=0.7,12,IF(M114&gt;=0.3,6)))))</f>
        <v>3</v>
      </c>
      <c r="O114" s="252">
        <v>7</v>
      </c>
      <c r="P114" s="252">
        <v>80000</v>
      </c>
      <c r="Q114" s="252">
        <f>J114*P114</f>
        <v>17456000</v>
      </c>
      <c r="R114" s="252">
        <f>Q114*3</f>
        <v>52368000</v>
      </c>
      <c r="S114" s="252">
        <f>N114*O114*S6</f>
        <v>10710000</v>
      </c>
      <c r="T114" s="255">
        <f>SUM(Q114:S120)</f>
        <v>80534000</v>
      </c>
      <c r="U114" s="100" t="s">
        <v>240</v>
      </c>
      <c r="V114" s="92">
        <v>20</v>
      </c>
      <c r="W114" s="93">
        <f>J114/V114</f>
        <v>10.91</v>
      </c>
      <c r="X114" s="144" t="s">
        <v>34</v>
      </c>
      <c r="Y114" s="84">
        <v>20</v>
      </c>
      <c r="Z114" s="143"/>
      <c r="AA114" s="144"/>
      <c r="AB114" s="87"/>
      <c r="AC114" s="88">
        <f t="shared" ref="AC114" si="31">Y114*Z114*AB114</f>
        <v>0</v>
      </c>
      <c r="AD114" s="240">
        <f>SUM(AC114:AC120)</f>
        <v>37500000</v>
      </c>
      <c r="AE114" s="240">
        <f>T114+AD114</f>
        <v>118034000</v>
      </c>
      <c r="AF114" s="99" t="s">
        <v>222</v>
      </c>
      <c r="AL114" s="132" t="s">
        <v>171</v>
      </c>
      <c r="AM114" s="135"/>
      <c r="AN114" s="135"/>
    </row>
    <row r="115" spans="1:40" s="90" customFormat="1" ht="28.5" customHeight="1">
      <c r="A115" s="257"/>
      <c r="B115" s="260"/>
      <c r="C115" s="263"/>
      <c r="D115" s="263"/>
      <c r="E115" s="263"/>
      <c r="F115" s="263"/>
      <c r="G115" s="266"/>
      <c r="H115" s="160"/>
      <c r="I115" s="244"/>
      <c r="J115" s="244"/>
      <c r="K115" s="244"/>
      <c r="L115" s="86"/>
      <c r="M115" s="247"/>
      <c r="N115" s="250"/>
      <c r="O115" s="253"/>
      <c r="P115" s="253"/>
      <c r="Q115" s="253"/>
      <c r="R115" s="253"/>
      <c r="S115" s="253"/>
      <c r="T115" s="255"/>
      <c r="U115" s="91" t="s">
        <v>158</v>
      </c>
      <c r="V115" s="144"/>
      <c r="W115" s="160"/>
      <c r="X115" s="144" t="s">
        <v>34</v>
      </c>
      <c r="Y115" s="84">
        <v>11</v>
      </c>
      <c r="Z115" s="143">
        <v>3000000</v>
      </c>
      <c r="AA115" s="86"/>
      <c r="AB115" s="87">
        <v>1</v>
      </c>
      <c r="AC115" s="88">
        <f>Y115*Z115*AB115</f>
        <v>33000000</v>
      </c>
      <c r="AD115" s="241"/>
      <c r="AE115" s="241"/>
      <c r="AF115" s="86"/>
      <c r="AL115" s="132" t="s">
        <v>171</v>
      </c>
      <c r="AM115" s="135"/>
      <c r="AN115" s="135"/>
    </row>
    <row r="116" spans="1:40" s="90" customFormat="1" ht="28.5" customHeight="1">
      <c r="A116" s="257"/>
      <c r="B116" s="260"/>
      <c r="C116" s="263"/>
      <c r="D116" s="263"/>
      <c r="E116" s="263"/>
      <c r="F116" s="263"/>
      <c r="G116" s="266"/>
      <c r="H116" s="160"/>
      <c r="I116" s="244"/>
      <c r="J116" s="244"/>
      <c r="K116" s="244"/>
      <c r="L116" s="86"/>
      <c r="M116" s="247"/>
      <c r="N116" s="250"/>
      <c r="O116" s="253"/>
      <c r="P116" s="253"/>
      <c r="Q116" s="253"/>
      <c r="R116" s="253"/>
      <c r="S116" s="253"/>
      <c r="T116" s="255"/>
      <c r="U116" s="91" t="s">
        <v>164</v>
      </c>
      <c r="V116" s="92"/>
      <c r="W116" s="93">
        <f>W114*0.3</f>
        <v>3.2730000000000001</v>
      </c>
      <c r="X116" s="144" t="s">
        <v>34</v>
      </c>
      <c r="Y116" s="84">
        <v>3</v>
      </c>
      <c r="Z116" s="143">
        <v>3000000</v>
      </c>
      <c r="AA116" s="86"/>
      <c r="AB116" s="87">
        <v>0.5</v>
      </c>
      <c r="AC116" s="88">
        <f t="shared" ref="AC116:AC119" si="32">Y116*Z116*AB116</f>
        <v>4500000</v>
      </c>
      <c r="AD116" s="241"/>
      <c r="AE116" s="241"/>
      <c r="AF116" s="86"/>
      <c r="AL116" s="132"/>
      <c r="AM116" s="135"/>
      <c r="AN116" s="135"/>
    </row>
    <row r="117" spans="1:40" s="90" customFormat="1" ht="28.5" customHeight="1">
      <c r="A117" s="257"/>
      <c r="B117" s="260"/>
      <c r="C117" s="263"/>
      <c r="D117" s="263"/>
      <c r="E117" s="263"/>
      <c r="F117" s="263"/>
      <c r="G117" s="266"/>
      <c r="H117" s="160"/>
      <c r="I117" s="244"/>
      <c r="J117" s="244"/>
      <c r="K117" s="244"/>
      <c r="L117" s="86"/>
      <c r="M117" s="247"/>
      <c r="N117" s="250"/>
      <c r="O117" s="253"/>
      <c r="P117" s="253"/>
      <c r="Q117" s="253"/>
      <c r="R117" s="253"/>
      <c r="S117" s="253"/>
      <c r="T117" s="255"/>
      <c r="U117" s="91" t="s">
        <v>165</v>
      </c>
      <c r="V117" s="144"/>
      <c r="W117" s="160"/>
      <c r="X117" s="144" t="s">
        <v>34</v>
      </c>
      <c r="Y117" s="84">
        <v>6</v>
      </c>
      <c r="Z117" s="143">
        <v>3000000</v>
      </c>
      <c r="AA117" s="144"/>
      <c r="AB117" s="87">
        <v>0</v>
      </c>
      <c r="AC117" s="88">
        <f t="shared" si="32"/>
        <v>0</v>
      </c>
      <c r="AD117" s="241"/>
      <c r="AE117" s="241"/>
      <c r="AF117" s="86"/>
      <c r="AL117" s="132"/>
      <c r="AM117" s="135"/>
      <c r="AN117" s="135"/>
    </row>
    <row r="118" spans="1:40" s="90" customFormat="1" ht="24.75" customHeight="1">
      <c r="A118" s="257"/>
      <c r="B118" s="260"/>
      <c r="C118" s="263"/>
      <c r="D118" s="263"/>
      <c r="E118" s="263"/>
      <c r="F118" s="263"/>
      <c r="G118" s="266"/>
      <c r="H118" s="160"/>
      <c r="I118" s="244"/>
      <c r="J118" s="244"/>
      <c r="K118" s="244"/>
      <c r="L118" s="86"/>
      <c r="M118" s="247"/>
      <c r="N118" s="250"/>
      <c r="O118" s="253"/>
      <c r="P118" s="253"/>
      <c r="Q118" s="253"/>
      <c r="R118" s="253"/>
      <c r="S118" s="253"/>
      <c r="T118" s="255"/>
      <c r="U118" s="100" t="s">
        <v>185</v>
      </c>
      <c r="V118" s="92"/>
      <c r="W118" s="93"/>
      <c r="X118" s="144" t="s">
        <v>34</v>
      </c>
      <c r="Y118" s="84">
        <v>8</v>
      </c>
      <c r="Z118" s="143"/>
      <c r="AA118" s="86"/>
      <c r="AB118" s="87"/>
      <c r="AC118" s="88">
        <f t="shared" si="32"/>
        <v>0</v>
      </c>
      <c r="AD118" s="241"/>
      <c r="AE118" s="241"/>
      <c r="AF118" s="86"/>
      <c r="AL118" s="132" t="s">
        <v>171</v>
      </c>
      <c r="AM118" s="135"/>
      <c r="AN118" s="135"/>
    </row>
    <row r="119" spans="1:40" s="90" customFormat="1" ht="24.75" customHeight="1">
      <c r="A119" s="257"/>
      <c r="B119" s="260"/>
      <c r="C119" s="263"/>
      <c r="D119" s="263"/>
      <c r="E119" s="263"/>
      <c r="F119" s="263"/>
      <c r="G119" s="266"/>
      <c r="H119" s="160"/>
      <c r="I119" s="244"/>
      <c r="J119" s="244"/>
      <c r="K119" s="244"/>
      <c r="L119" s="86"/>
      <c r="M119" s="247"/>
      <c r="N119" s="250"/>
      <c r="O119" s="253"/>
      <c r="P119" s="253"/>
      <c r="Q119" s="253"/>
      <c r="R119" s="253"/>
      <c r="S119" s="253"/>
      <c r="T119" s="255"/>
      <c r="U119" s="91" t="s">
        <v>165</v>
      </c>
      <c r="V119" s="144"/>
      <c r="W119" s="160"/>
      <c r="X119" s="144" t="s">
        <v>34</v>
      </c>
      <c r="Y119" s="84">
        <v>8</v>
      </c>
      <c r="Z119" s="143">
        <v>1800000</v>
      </c>
      <c r="AA119" s="86"/>
      <c r="AB119" s="87">
        <v>0</v>
      </c>
      <c r="AC119" s="88">
        <f t="shared" si="32"/>
        <v>0</v>
      </c>
      <c r="AD119" s="241"/>
      <c r="AE119" s="241"/>
      <c r="AF119" s="86"/>
      <c r="AL119" s="132"/>
      <c r="AM119" s="135"/>
      <c r="AN119" s="135"/>
    </row>
    <row r="120" spans="1:40" s="90" customFormat="1" ht="55.5" customHeight="1">
      <c r="A120" s="258"/>
      <c r="B120" s="261"/>
      <c r="C120" s="264"/>
      <c r="D120" s="264"/>
      <c r="E120" s="264"/>
      <c r="F120" s="264"/>
      <c r="G120" s="267"/>
      <c r="H120" s="160"/>
      <c r="I120" s="245"/>
      <c r="J120" s="245"/>
      <c r="K120" s="245"/>
      <c r="L120" s="86"/>
      <c r="M120" s="248"/>
      <c r="N120" s="251"/>
      <c r="O120" s="254"/>
      <c r="P120" s="254"/>
      <c r="Q120" s="254"/>
      <c r="R120" s="254"/>
      <c r="S120" s="254"/>
      <c r="T120" s="268"/>
      <c r="U120" s="112" t="s">
        <v>238</v>
      </c>
      <c r="V120" s="92"/>
      <c r="W120" s="93"/>
      <c r="X120" s="83" t="s">
        <v>38</v>
      </c>
      <c r="Y120" s="95">
        <v>43.2</v>
      </c>
      <c r="Z120" s="143"/>
      <c r="AA120" s="86"/>
      <c r="AB120" s="87">
        <v>0</v>
      </c>
      <c r="AC120" s="88">
        <f>Y120*Z120*AB120</f>
        <v>0</v>
      </c>
      <c r="AD120" s="242"/>
      <c r="AE120" s="242"/>
      <c r="AF120" s="86"/>
      <c r="AL120" s="132" t="s">
        <v>171</v>
      </c>
      <c r="AM120" s="135"/>
      <c r="AN120" s="135"/>
    </row>
    <row r="121" spans="1:40" s="90" customFormat="1" ht="24.75" customHeight="1">
      <c r="A121" s="256">
        <v>12</v>
      </c>
      <c r="B121" s="259" t="s">
        <v>224</v>
      </c>
      <c r="C121" s="262">
        <v>64</v>
      </c>
      <c r="D121" s="262">
        <v>324</v>
      </c>
      <c r="E121" s="262">
        <v>431.9</v>
      </c>
      <c r="F121" s="262" t="s">
        <v>2</v>
      </c>
      <c r="G121" s="265">
        <v>432</v>
      </c>
      <c r="H121" s="160"/>
      <c r="I121" s="243">
        <f>E121-G121</f>
        <v>-0.10000000000002274</v>
      </c>
      <c r="J121" s="252">
        <v>432</v>
      </c>
      <c r="K121" s="243">
        <v>432</v>
      </c>
      <c r="L121" s="86"/>
      <c r="M121" s="246">
        <f>J121/K121</f>
        <v>1</v>
      </c>
      <c r="N121" s="249">
        <f>IF(M121&lt;0.1,2,IF(M121&lt;0.2,3,IF(M121&lt;0.3,5,IF(M121&gt;=0.7,12,IF(M121&gt;=0.3,6)))))</f>
        <v>12</v>
      </c>
      <c r="O121" s="252">
        <v>1</v>
      </c>
      <c r="P121" s="252">
        <v>80000</v>
      </c>
      <c r="Q121" s="252">
        <f>J121*P121</f>
        <v>34560000</v>
      </c>
      <c r="R121" s="252">
        <f>Q121*3</f>
        <v>103680000</v>
      </c>
      <c r="S121" s="252">
        <f>N121*O121*S6</f>
        <v>6120000</v>
      </c>
      <c r="T121" s="255">
        <f>SUM(Q121:S129)</f>
        <v>144360000</v>
      </c>
      <c r="U121" s="82" t="s">
        <v>162</v>
      </c>
      <c r="V121" s="144">
        <v>25</v>
      </c>
      <c r="W121" s="160">
        <f>J121/V121</f>
        <v>17.28</v>
      </c>
      <c r="X121" s="144" t="s">
        <v>34</v>
      </c>
      <c r="Y121" s="84">
        <v>8</v>
      </c>
      <c r="Z121" s="143"/>
      <c r="AA121" s="144"/>
      <c r="AB121" s="87"/>
      <c r="AC121" s="88">
        <f t="shared" ref="AC121" si="33">Y121*Z121*AB121</f>
        <v>0</v>
      </c>
      <c r="AD121" s="240">
        <f>SUM(AC121:AC129)</f>
        <v>75585000</v>
      </c>
      <c r="AE121" s="240">
        <f>T121+AD121</f>
        <v>219945000</v>
      </c>
      <c r="AF121" s="99" t="s">
        <v>223</v>
      </c>
      <c r="AL121" s="132" t="s">
        <v>171</v>
      </c>
      <c r="AM121" s="135"/>
      <c r="AN121" s="135"/>
    </row>
    <row r="122" spans="1:40" s="90" customFormat="1" ht="24.75" customHeight="1">
      <c r="A122" s="257"/>
      <c r="B122" s="260"/>
      <c r="C122" s="263"/>
      <c r="D122" s="263"/>
      <c r="E122" s="263"/>
      <c r="F122" s="263"/>
      <c r="G122" s="266"/>
      <c r="H122" s="160"/>
      <c r="I122" s="244"/>
      <c r="J122" s="253"/>
      <c r="K122" s="244"/>
      <c r="L122" s="86"/>
      <c r="M122" s="247"/>
      <c r="N122" s="250"/>
      <c r="O122" s="253"/>
      <c r="P122" s="253"/>
      <c r="Q122" s="253"/>
      <c r="R122" s="253"/>
      <c r="S122" s="253"/>
      <c r="T122" s="255"/>
      <c r="U122" s="91" t="s">
        <v>158</v>
      </c>
      <c r="V122" s="144"/>
      <c r="W122" s="160"/>
      <c r="X122" s="144" t="s">
        <v>34</v>
      </c>
      <c r="Y122" s="84">
        <v>8</v>
      </c>
      <c r="Z122" s="143">
        <v>4500000</v>
      </c>
      <c r="AA122" s="144"/>
      <c r="AB122" s="87">
        <v>1</v>
      </c>
      <c r="AC122" s="88">
        <f>Y122*Z122*AB122</f>
        <v>36000000</v>
      </c>
      <c r="AD122" s="241"/>
      <c r="AE122" s="241"/>
      <c r="AF122" s="86"/>
      <c r="AL122" s="132" t="s">
        <v>171</v>
      </c>
      <c r="AM122" s="135"/>
      <c r="AN122" s="135"/>
    </row>
    <row r="123" spans="1:40" s="90" customFormat="1" ht="24.75" customHeight="1">
      <c r="A123" s="257"/>
      <c r="B123" s="260"/>
      <c r="C123" s="263"/>
      <c r="D123" s="263"/>
      <c r="E123" s="263"/>
      <c r="F123" s="263"/>
      <c r="G123" s="266"/>
      <c r="H123" s="160"/>
      <c r="I123" s="244"/>
      <c r="J123" s="253"/>
      <c r="K123" s="244"/>
      <c r="L123" s="86"/>
      <c r="M123" s="247"/>
      <c r="N123" s="250"/>
      <c r="O123" s="253"/>
      <c r="P123" s="253"/>
      <c r="Q123" s="253"/>
      <c r="R123" s="253"/>
      <c r="S123" s="253"/>
      <c r="T123" s="255"/>
      <c r="U123" s="100" t="s">
        <v>167</v>
      </c>
      <c r="V123" s="92"/>
      <c r="W123" s="93"/>
      <c r="X123" s="144" t="s">
        <v>34</v>
      </c>
      <c r="Y123" s="84">
        <v>11</v>
      </c>
      <c r="Z123" s="143"/>
      <c r="AA123" s="86"/>
      <c r="AB123" s="87"/>
      <c r="AC123" s="88">
        <f t="shared" ref="AC123:AC124" si="34">Y123*Z123*AB123</f>
        <v>0</v>
      </c>
      <c r="AD123" s="241"/>
      <c r="AE123" s="241"/>
      <c r="AF123" s="86"/>
      <c r="AL123" s="132"/>
      <c r="AM123" s="135"/>
      <c r="AN123" s="135"/>
    </row>
    <row r="124" spans="1:40" s="90" customFormat="1" ht="24.75" customHeight="1">
      <c r="A124" s="257"/>
      <c r="B124" s="260"/>
      <c r="C124" s="263"/>
      <c r="D124" s="263"/>
      <c r="E124" s="263"/>
      <c r="F124" s="263"/>
      <c r="G124" s="266"/>
      <c r="H124" s="160"/>
      <c r="I124" s="244"/>
      <c r="J124" s="253"/>
      <c r="K124" s="244"/>
      <c r="L124" s="86"/>
      <c r="M124" s="247"/>
      <c r="N124" s="250"/>
      <c r="O124" s="253"/>
      <c r="P124" s="253"/>
      <c r="Q124" s="253"/>
      <c r="R124" s="253"/>
      <c r="S124" s="253"/>
      <c r="T124" s="255"/>
      <c r="U124" s="91" t="s">
        <v>158</v>
      </c>
      <c r="V124" s="92"/>
      <c r="W124" s="93"/>
      <c r="X124" s="144" t="s">
        <v>34</v>
      </c>
      <c r="Y124" s="84">
        <v>9</v>
      </c>
      <c r="Z124" s="143">
        <v>3850000</v>
      </c>
      <c r="AA124" s="86"/>
      <c r="AB124" s="87">
        <v>1</v>
      </c>
      <c r="AC124" s="88">
        <f t="shared" si="34"/>
        <v>34650000</v>
      </c>
      <c r="AD124" s="241"/>
      <c r="AE124" s="241"/>
      <c r="AF124" s="86"/>
      <c r="AL124" s="132"/>
      <c r="AM124" s="135"/>
      <c r="AN124" s="135"/>
    </row>
    <row r="125" spans="1:40" s="90" customFormat="1" ht="24.75" customHeight="1">
      <c r="A125" s="257"/>
      <c r="B125" s="260"/>
      <c r="C125" s="263"/>
      <c r="D125" s="263"/>
      <c r="E125" s="263"/>
      <c r="F125" s="263"/>
      <c r="G125" s="266"/>
      <c r="H125" s="160"/>
      <c r="I125" s="244"/>
      <c r="J125" s="253"/>
      <c r="K125" s="244"/>
      <c r="L125" s="86"/>
      <c r="M125" s="247"/>
      <c r="N125" s="250"/>
      <c r="O125" s="253"/>
      <c r="P125" s="253"/>
      <c r="Q125" s="253"/>
      <c r="R125" s="253"/>
      <c r="S125" s="253"/>
      <c r="T125" s="255"/>
      <c r="U125" s="91" t="s">
        <v>164</v>
      </c>
      <c r="V125" s="92"/>
      <c r="W125" s="93">
        <f>0.3*(19-17)</f>
        <v>0.6</v>
      </c>
      <c r="X125" s="144" t="s">
        <v>34</v>
      </c>
      <c r="Y125" s="84">
        <v>1</v>
      </c>
      <c r="Z125" s="143">
        <v>3850000</v>
      </c>
      <c r="AA125" s="86"/>
      <c r="AB125" s="87">
        <v>0.3</v>
      </c>
      <c r="AC125" s="88">
        <f t="shared" ref="AC125:AC127" si="35">Y125*Z125*AB125</f>
        <v>1155000</v>
      </c>
      <c r="AD125" s="241"/>
      <c r="AE125" s="241"/>
      <c r="AF125" s="86"/>
      <c r="AL125" s="132"/>
      <c r="AM125" s="135"/>
      <c r="AN125" s="135"/>
    </row>
    <row r="126" spans="1:40" s="90" customFormat="1" ht="24.75" customHeight="1">
      <c r="A126" s="257"/>
      <c r="B126" s="260"/>
      <c r="C126" s="263"/>
      <c r="D126" s="263"/>
      <c r="E126" s="263"/>
      <c r="F126" s="263"/>
      <c r="G126" s="266"/>
      <c r="H126" s="160"/>
      <c r="I126" s="244"/>
      <c r="J126" s="253"/>
      <c r="K126" s="244"/>
      <c r="L126" s="86"/>
      <c r="M126" s="247"/>
      <c r="N126" s="250"/>
      <c r="O126" s="253"/>
      <c r="P126" s="253"/>
      <c r="Q126" s="253"/>
      <c r="R126" s="253"/>
      <c r="S126" s="253"/>
      <c r="T126" s="255"/>
      <c r="U126" s="91" t="s">
        <v>165</v>
      </c>
      <c r="V126" s="144"/>
      <c r="W126" s="160"/>
      <c r="X126" s="144" t="s">
        <v>34</v>
      </c>
      <c r="Y126" s="84">
        <v>1</v>
      </c>
      <c r="Z126" s="143">
        <v>3850000</v>
      </c>
      <c r="AA126" s="144"/>
      <c r="AB126" s="87">
        <v>0</v>
      </c>
      <c r="AC126" s="88">
        <f t="shared" si="35"/>
        <v>0</v>
      </c>
      <c r="AD126" s="241"/>
      <c r="AE126" s="241"/>
      <c r="AF126" s="86"/>
      <c r="AL126" s="132"/>
      <c r="AM126" s="135"/>
      <c r="AN126" s="135"/>
    </row>
    <row r="127" spans="1:40" s="90" customFormat="1" ht="31.5">
      <c r="A127" s="257"/>
      <c r="B127" s="260"/>
      <c r="C127" s="263"/>
      <c r="D127" s="263"/>
      <c r="E127" s="263"/>
      <c r="F127" s="263"/>
      <c r="G127" s="266"/>
      <c r="H127" s="160"/>
      <c r="I127" s="244"/>
      <c r="J127" s="253"/>
      <c r="K127" s="244"/>
      <c r="L127" s="86"/>
      <c r="M127" s="247"/>
      <c r="N127" s="250"/>
      <c r="O127" s="253"/>
      <c r="P127" s="253"/>
      <c r="Q127" s="253"/>
      <c r="R127" s="253"/>
      <c r="S127" s="253"/>
      <c r="T127" s="255"/>
      <c r="U127" s="100" t="s">
        <v>169</v>
      </c>
      <c r="V127" s="92">
        <v>20</v>
      </c>
      <c r="W127" s="93">
        <f>G121/V127</f>
        <v>21.6</v>
      </c>
      <c r="X127" s="144" t="s">
        <v>34</v>
      </c>
      <c r="Y127" s="84">
        <v>15</v>
      </c>
      <c r="Z127" s="143"/>
      <c r="AA127" s="86"/>
      <c r="AB127" s="87"/>
      <c r="AC127" s="88">
        <f t="shared" si="35"/>
        <v>0</v>
      </c>
      <c r="AD127" s="241"/>
      <c r="AE127" s="241"/>
      <c r="AF127" s="86"/>
      <c r="AL127" s="132"/>
      <c r="AM127" s="135"/>
      <c r="AN127" s="135"/>
    </row>
    <row r="128" spans="1:40" s="90" customFormat="1" ht="24.75" customHeight="1">
      <c r="A128" s="257"/>
      <c r="B128" s="260"/>
      <c r="C128" s="263"/>
      <c r="D128" s="263"/>
      <c r="E128" s="263"/>
      <c r="F128" s="263"/>
      <c r="G128" s="266"/>
      <c r="H128" s="160"/>
      <c r="I128" s="244"/>
      <c r="J128" s="253"/>
      <c r="K128" s="244"/>
      <c r="L128" s="86"/>
      <c r="M128" s="247"/>
      <c r="N128" s="250"/>
      <c r="O128" s="253"/>
      <c r="P128" s="253"/>
      <c r="Q128" s="253"/>
      <c r="R128" s="253"/>
      <c r="S128" s="253"/>
      <c r="T128" s="255"/>
      <c r="U128" s="91" t="s">
        <v>164</v>
      </c>
      <c r="V128" s="92"/>
      <c r="W128" s="93">
        <f>W127*0.3</f>
        <v>6.48</v>
      </c>
      <c r="X128" s="83" t="s">
        <v>38</v>
      </c>
      <c r="Y128" s="84">
        <v>7</v>
      </c>
      <c r="Z128" s="143">
        <v>1800000</v>
      </c>
      <c r="AA128" s="144"/>
      <c r="AB128" s="87">
        <v>0.3</v>
      </c>
      <c r="AC128" s="88">
        <f>Y128*Z128*AB128</f>
        <v>3780000</v>
      </c>
      <c r="AD128" s="241"/>
      <c r="AE128" s="241"/>
      <c r="AF128" s="86"/>
      <c r="AL128" s="132"/>
      <c r="AM128" s="135"/>
      <c r="AN128" s="135"/>
    </row>
    <row r="129" spans="1:40" s="90" customFormat="1" ht="24.75" customHeight="1">
      <c r="A129" s="258"/>
      <c r="B129" s="261"/>
      <c r="C129" s="264"/>
      <c r="D129" s="264"/>
      <c r="E129" s="264"/>
      <c r="F129" s="264"/>
      <c r="G129" s="267"/>
      <c r="H129" s="160"/>
      <c r="I129" s="245"/>
      <c r="J129" s="254"/>
      <c r="K129" s="245"/>
      <c r="L129" s="86"/>
      <c r="M129" s="248"/>
      <c r="N129" s="251"/>
      <c r="O129" s="254"/>
      <c r="P129" s="254"/>
      <c r="Q129" s="254"/>
      <c r="R129" s="254"/>
      <c r="S129" s="254"/>
      <c r="T129" s="255"/>
      <c r="U129" s="91" t="s">
        <v>165</v>
      </c>
      <c r="V129" s="144"/>
      <c r="W129" s="160"/>
      <c r="X129" s="144" t="s">
        <v>34</v>
      </c>
      <c r="Y129" s="84">
        <v>8</v>
      </c>
      <c r="Z129" s="143">
        <v>1800000</v>
      </c>
      <c r="AA129" s="144"/>
      <c r="AB129" s="87">
        <v>0</v>
      </c>
      <c r="AC129" s="88">
        <f t="shared" ref="AC129" si="36">Y129*Z129*AB129</f>
        <v>0</v>
      </c>
      <c r="AD129" s="242"/>
      <c r="AE129" s="242"/>
      <c r="AF129" s="86"/>
      <c r="AL129" s="132" t="s">
        <v>171</v>
      </c>
      <c r="AM129" s="135"/>
      <c r="AN129" s="135"/>
    </row>
    <row r="130" spans="1:40" s="118" customFormat="1" ht="36.75" customHeight="1">
      <c r="A130" s="71"/>
      <c r="B130" s="67" t="s">
        <v>46</v>
      </c>
      <c r="C130" s="71"/>
      <c r="D130" s="71"/>
      <c r="E130" s="113"/>
      <c r="F130" s="113"/>
      <c r="G130" s="114">
        <f>SUM(G9:G129)</f>
        <v>11187</v>
      </c>
      <c r="H130" s="114">
        <f t="shared" ref="H130" si="37">SUM(H9:H129)</f>
        <v>1725.6</v>
      </c>
      <c r="I130" s="114"/>
      <c r="J130" s="115">
        <f t="shared" ref="J130:AE130" si="38">SUM(J9:J129)</f>
        <v>10936.900000000001</v>
      </c>
      <c r="K130" s="115">
        <f t="shared" si="38"/>
        <v>15819</v>
      </c>
      <c r="L130" s="71">
        <f t="shared" si="38"/>
        <v>0</v>
      </c>
      <c r="M130" s="71"/>
      <c r="N130" s="71"/>
      <c r="O130" s="71">
        <f t="shared" si="38"/>
        <v>53</v>
      </c>
      <c r="P130" s="71"/>
      <c r="Q130" s="114">
        <f t="shared" si="38"/>
        <v>874952000</v>
      </c>
      <c r="R130" s="114">
        <f t="shared" si="38"/>
        <v>2624856000</v>
      </c>
      <c r="S130" s="114">
        <f t="shared" si="38"/>
        <v>246330000</v>
      </c>
      <c r="T130" s="114">
        <f t="shared" si="38"/>
        <v>3746138000</v>
      </c>
      <c r="U130" s="71"/>
      <c r="V130" s="71"/>
      <c r="W130" s="71"/>
      <c r="X130" s="71"/>
      <c r="Y130" s="71"/>
      <c r="Z130" s="71"/>
      <c r="AA130" s="71"/>
      <c r="AB130" s="71"/>
      <c r="AC130" s="114"/>
      <c r="AD130" s="114">
        <f t="shared" si="38"/>
        <v>1618812400</v>
      </c>
      <c r="AE130" s="114">
        <f t="shared" si="38"/>
        <v>5364950400</v>
      </c>
      <c r="AF130" s="116"/>
      <c r="AG130" s="117"/>
      <c r="AL130" s="137"/>
      <c r="AM130" s="137"/>
      <c r="AN130" s="137"/>
    </row>
    <row r="131" spans="1:40" s="64" customFormat="1">
      <c r="A131" s="119"/>
      <c r="B131" s="120"/>
      <c r="F131" s="121"/>
      <c r="G131" s="122"/>
      <c r="H131" s="123"/>
      <c r="I131" s="121"/>
      <c r="J131" s="124"/>
      <c r="K131" s="124"/>
      <c r="M131" s="125"/>
      <c r="N131" s="123"/>
      <c r="O131" s="124"/>
      <c r="P131" s="123"/>
      <c r="Q131" s="123"/>
      <c r="R131" s="123"/>
      <c r="S131" s="123"/>
      <c r="T131" s="123"/>
      <c r="U131" s="120"/>
      <c r="V131" s="126"/>
      <c r="W131" s="126"/>
      <c r="Y131" s="122"/>
      <c r="Z131" s="121"/>
      <c r="AC131" s="127"/>
      <c r="AD131" s="128"/>
      <c r="AE131" s="128"/>
      <c r="AF131" s="129"/>
      <c r="AG131" s="130"/>
      <c r="AL131" s="131"/>
      <c r="AM131" s="131"/>
      <c r="AN131" s="131"/>
    </row>
  </sheetData>
  <autoFilter ref="A7:AF130"/>
  <mergeCells count="283">
    <mergeCell ref="L28:L45"/>
    <mergeCell ref="AD50:AD54"/>
    <mergeCell ref="AE50:AE54"/>
    <mergeCell ref="N50:N54"/>
    <mergeCell ref="O50:O54"/>
    <mergeCell ref="P50:P54"/>
    <mergeCell ref="Q50:Q54"/>
    <mergeCell ref="R50:R54"/>
    <mergeCell ref="S50:S54"/>
    <mergeCell ref="AD28:AD49"/>
    <mergeCell ref="AE28:AE49"/>
    <mergeCell ref="T28:T49"/>
    <mergeCell ref="T50:T54"/>
    <mergeCell ref="T62:T87"/>
    <mergeCell ref="AD62:AD87"/>
    <mergeCell ref="AE62:AE87"/>
    <mergeCell ref="Q55:Q61"/>
    <mergeCell ref="R55:R61"/>
    <mergeCell ref="S55:S61"/>
    <mergeCell ref="T55:T61"/>
    <mergeCell ref="AD55:AD61"/>
    <mergeCell ref="AE55:AE61"/>
    <mergeCell ref="R62:R87"/>
    <mergeCell ref="Q62:Q87"/>
    <mergeCell ref="A62:A87"/>
    <mergeCell ref="B62:B87"/>
    <mergeCell ref="C62:C87"/>
    <mergeCell ref="D62:D87"/>
    <mergeCell ref="E62:E87"/>
    <mergeCell ref="F62:F87"/>
    <mergeCell ref="G62:G87"/>
    <mergeCell ref="I62:I87"/>
    <mergeCell ref="C101:C105"/>
    <mergeCell ref="H96:H99"/>
    <mergeCell ref="I96:I99"/>
    <mergeCell ref="H88:H95"/>
    <mergeCell ref="I88:I95"/>
    <mergeCell ref="I101:I104"/>
    <mergeCell ref="A55:A61"/>
    <mergeCell ref="B55:B61"/>
    <mergeCell ref="C55:C61"/>
    <mergeCell ref="D55:D61"/>
    <mergeCell ref="E55:E61"/>
    <mergeCell ref="F55:F61"/>
    <mergeCell ref="G55:G61"/>
    <mergeCell ref="A101:A105"/>
    <mergeCell ref="D101:D104"/>
    <mergeCell ref="E101:E104"/>
    <mergeCell ref="F101:F104"/>
    <mergeCell ref="G101:G104"/>
    <mergeCell ref="B101:B104"/>
    <mergeCell ref="A88:A99"/>
    <mergeCell ref="B88:B99"/>
    <mergeCell ref="C88:C99"/>
    <mergeCell ref="D96:D99"/>
    <mergeCell ref="E96:E99"/>
    <mergeCell ref="F96:F99"/>
    <mergeCell ref="G96:G99"/>
    <mergeCell ref="D88:D95"/>
    <mergeCell ref="E88:E95"/>
    <mergeCell ref="F88:F95"/>
    <mergeCell ref="G88:G95"/>
    <mergeCell ref="J88:J99"/>
    <mergeCell ref="K88:K99"/>
    <mergeCell ref="L88:L93"/>
    <mergeCell ref="M88:M99"/>
    <mergeCell ref="N88:N99"/>
    <mergeCell ref="AD101:AD105"/>
    <mergeCell ref="AE101:AE105"/>
    <mergeCell ref="O101:O105"/>
    <mergeCell ref="P101:P105"/>
    <mergeCell ref="Q101:Q105"/>
    <mergeCell ref="R101:R105"/>
    <mergeCell ref="S101:S105"/>
    <mergeCell ref="T101:T105"/>
    <mergeCell ref="J101:J105"/>
    <mergeCell ref="K101:K105"/>
    <mergeCell ref="L101:L104"/>
    <mergeCell ref="M101:M105"/>
    <mergeCell ref="N101:N105"/>
    <mergeCell ref="AD88:AD99"/>
    <mergeCell ref="AE88:AE99"/>
    <mergeCell ref="R88:R99"/>
    <mergeCell ref="S88:S99"/>
    <mergeCell ref="T88:T99"/>
    <mergeCell ref="O88:O99"/>
    <mergeCell ref="H55:H60"/>
    <mergeCell ref="J55:J61"/>
    <mergeCell ref="K55:K61"/>
    <mergeCell ref="L55:L60"/>
    <mergeCell ref="M55:M61"/>
    <mergeCell ref="N55:N61"/>
    <mergeCell ref="O55:O61"/>
    <mergeCell ref="P55:P61"/>
    <mergeCell ref="J62:J87"/>
    <mergeCell ref="K62:K87"/>
    <mergeCell ref="L62:L87"/>
    <mergeCell ref="M62:M87"/>
    <mergeCell ref="N62:N87"/>
    <mergeCell ref="O62:O87"/>
    <mergeCell ref="P62:P87"/>
    <mergeCell ref="I55:I61"/>
    <mergeCell ref="P88:P99"/>
    <mergeCell ref="Q88:Q99"/>
    <mergeCell ref="M28:M49"/>
    <mergeCell ref="N28:N49"/>
    <mergeCell ref="O28:O49"/>
    <mergeCell ref="P28:P49"/>
    <mergeCell ref="Q28:Q49"/>
    <mergeCell ref="R28:R49"/>
    <mergeCell ref="S28:S49"/>
    <mergeCell ref="M50:M54"/>
    <mergeCell ref="S62:S87"/>
    <mergeCell ref="H28:H45"/>
    <mergeCell ref="J28:J49"/>
    <mergeCell ref="K28:K49"/>
    <mergeCell ref="A28:A49"/>
    <mergeCell ref="B50:B54"/>
    <mergeCell ref="C50:C54"/>
    <mergeCell ref="D50:D54"/>
    <mergeCell ref="E50:E54"/>
    <mergeCell ref="A50:A54"/>
    <mergeCell ref="B28:B49"/>
    <mergeCell ref="C28:C49"/>
    <mergeCell ref="D28:D49"/>
    <mergeCell ref="E28:E49"/>
    <mergeCell ref="F28:F49"/>
    <mergeCell ref="G28:G49"/>
    <mergeCell ref="F50:F54"/>
    <mergeCell ref="G50:G54"/>
    <mergeCell ref="I50:I54"/>
    <mergeCell ref="J50:J54"/>
    <mergeCell ref="K50:K54"/>
    <mergeCell ref="I28:I49"/>
    <mergeCell ref="AD18:AD27"/>
    <mergeCell ref="C18:C27"/>
    <mergeCell ref="AE18:AE27"/>
    <mergeCell ref="D23:D27"/>
    <mergeCell ref="E23:E27"/>
    <mergeCell ref="F23:F27"/>
    <mergeCell ref="G23:G27"/>
    <mergeCell ref="M18:M27"/>
    <mergeCell ref="N18:N27"/>
    <mergeCell ref="O18:O27"/>
    <mergeCell ref="P18:P27"/>
    <mergeCell ref="Q18:Q27"/>
    <mergeCell ref="R18:R27"/>
    <mergeCell ref="G18:G22"/>
    <mergeCell ref="H18:H22"/>
    <mergeCell ref="I18:I22"/>
    <mergeCell ref="J18:J27"/>
    <mergeCell ref="K18:K27"/>
    <mergeCell ref="L18:L22"/>
    <mergeCell ref="I23:I27"/>
    <mergeCell ref="T9:T17"/>
    <mergeCell ref="A18:A27"/>
    <mergeCell ref="B18:B27"/>
    <mergeCell ref="D18:D22"/>
    <mergeCell ref="E18:E22"/>
    <mergeCell ref="F18:F22"/>
    <mergeCell ref="S18:S27"/>
    <mergeCell ref="T18:T27"/>
    <mergeCell ref="K9:K17"/>
    <mergeCell ref="L9:L11"/>
    <mergeCell ref="M9:M17"/>
    <mergeCell ref="N9:N17"/>
    <mergeCell ref="O9:O17"/>
    <mergeCell ref="P9:P17"/>
    <mergeCell ref="E9:E15"/>
    <mergeCell ref="F9:F15"/>
    <mergeCell ref="G9:G15"/>
    <mergeCell ref="H9:H15"/>
    <mergeCell ref="I9:I15"/>
    <mergeCell ref="J9:J17"/>
    <mergeCell ref="F16:F17"/>
    <mergeCell ref="AD9:AD17"/>
    <mergeCell ref="A1:AF2"/>
    <mergeCell ref="A3:A5"/>
    <mergeCell ref="B3:B5"/>
    <mergeCell ref="C3:K3"/>
    <mergeCell ref="L3:L5"/>
    <mergeCell ref="M3:M5"/>
    <mergeCell ref="N3:N5"/>
    <mergeCell ref="O3:O5"/>
    <mergeCell ref="P3:T4"/>
    <mergeCell ref="U3:AD4"/>
    <mergeCell ref="AE3:AE5"/>
    <mergeCell ref="AF3:AF5"/>
    <mergeCell ref="C4:E4"/>
    <mergeCell ref="F4:K4"/>
    <mergeCell ref="D16:D17"/>
    <mergeCell ref="E16:E17"/>
    <mergeCell ref="A9:A17"/>
    <mergeCell ref="C9:C17"/>
    <mergeCell ref="D9:D15"/>
    <mergeCell ref="B9:B17"/>
    <mergeCell ref="Q9:Q17"/>
    <mergeCell ref="R9:R17"/>
    <mergeCell ref="S9:S17"/>
    <mergeCell ref="AE9:AE17"/>
    <mergeCell ref="A106:A110"/>
    <mergeCell ref="B106:B110"/>
    <mergeCell ref="C106:C110"/>
    <mergeCell ref="D106:D110"/>
    <mergeCell ref="E106:E110"/>
    <mergeCell ref="F106:F110"/>
    <mergeCell ref="G106:G110"/>
    <mergeCell ref="I106:I110"/>
    <mergeCell ref="J106:J110"/>
    <mergeCell ref="K106:K110"/>
    <mergeCell ref="M106:M110"/>
    <mergeCell ref="N106:N110"/>
    <mergeCell ref="O106:O110"/>
    <mergeCell ref="P106:P110"/>
    <mergeCell ref="Q106:Q110"/>
    <mergeCell ref="R106:R110"/>
    <mergeCell ref="S106:S110"/>
    <mergeCell ref="T106:T110"/>
    <mergeCell ref="AD106:AD110"/>
    <mergeCell ref="AE106:AE110"/>
    <mergeCell ref="G16:G17"/>
    <mergeCell ref="H16:H17"/>
    <mergeCell ref="I16:I17"/>
    <mergeCell ref="N111:N113"/>
    <mergeCell ref="O111:O113"/>
    <mergeCell ref="P111:P113"/>
    <mergeCell ref="Q111:Q113"/>
    <mergeCell ref="R111:R113"/>
    <mergeCell ref="S111:S113"/>
    <mergeCell ref="T111:T113"/>
    <mergeCell ref="A111:A113"/>
    <mergeCell ref="B111:B113"/>
    <mergeCell ref="C111:C113"/>
    <mergeCell ref="D111:D113"/>
    <mergeCell ref="E111:E113"/>
    <mergeCell ref="F111:F113"/>
    <mergeCell ref="G111:G113"/>
    <mergeCell ref="I111:I113"/>
    <mergeCell ref="J111:J113"/>
    <mergeCell ref="AD111:AD113"/>
    <mergeCell ref="AE111:AE113"/>
    <mergeCell ref="A114:A120"/>
    <mergeCell ref="B114:B120"/>
    <mergeCell ref="C114:C120"/>
    <mergeCell ref="D114:D120"/>
    <mergeCell ref="E114:E120"/>
    <mergeCell ref="F114:F120"/>
    <mergeCell ref="G114:G120"/>
    <mergeCell ref="I114:I120"/>
    <mergeCell ref="J114:J120"/>
    <mergeCell ref="K114:K120"/>
    <mergeCell ref="M114:M120"/>
    <mergeCell ref="N114:N120"/>
    <mergeCell ref="O114:O120"/>
    <mergeCell ref="P114:P120"/>
    <mergeCell ref="Q114:Q120"/>
    <mergeCell ref="R114:R120"/>
    <mergeCell ref="S114:S120"/>
    <mergeCell ref="T114:T120"/>
    <mergeCell ref="AD114:AD120"/>
    <mergeCell ref="AE114:AE120"/>
    <mergeCell ref="K111:K113"/>
    <mergeCell ref="M111:M113"/>
    <mergeCell ref="A121:A129"/>
    <mergeCell ref="B121:B129"/>
    <mergeCell ref="C121:C129"/>
    <mergeCell ref="D121:D129"/>
    <mergeCell ref="E121:E129"/>
    <mergeCell ref="F121:F129"/>
    <mergeCell ref="G121:G129"/>
    <mergeCell ref="I121:I129"/>
    <mergeCell ref="J121:J129"/>
    <mergeCell ref="AD121:AD129"/>
    <mergeCell ref="AE121:AE129"/>
    <mergeCell ref="K121:K129"/>
    <mergeCell ref="M121:M129"/>
    <mergeCell ref="N121:N129"/>
    <mergeCell ref="O121:O129"/>
    <mergeCell ref="P121:P129"/>
    <mergeCell ref="Q121:Q129"/>
    <mergeCell ref="R121:R129"/>
    <mergeCell ref="S121:S129"/>
    <mergeCell ref="T121:T129"/>
  </mergeCells>
  <pageMargins left="0.45" right="0.2" top="0.5" bottom="0.5" header="0.3" footer="0.3"/>
  <pageSetup paperSize="8" scale="6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34"/>
  <sheetViews>
    <sheetView zoomScale="80" zoomScaleNormal="80" workbookViewId="0">
      <pane ySplit="8" topLeftCell="A114" activePane="bottomLeft" state="frozen"/>
      <selection pane="bottomLeft" activeCell="E112" sqref="E112:E118"/>
    </sheetView>
  </sheetViews>
  <sheetFormatPr defaultColWidth="7.75" defaultRowHeight="16.5"/>
  <cols>
    <col min="1" max="1" width="5.5" style="119" customWidth="1"/>
    <col min="2" max="2" width="23.375" style="120" customWidth="1"/>
    <col min="3" max="3" width="6.375" style="64" customWidth="1"/>
    <col min="4" max="4" width="7.25" style="64" bestFit="1" customWidth="1"/>
    <col min="5" max="5" width="8.75" style="64" customWidth="1"/>
    <col min="6" max="6" width="6.75" style="121" customWidth="1"/>
    <col min="7" max="7" width="8.375" style="122" customWidth="1"/>
    <col min="8" max="8" width="12.75" style="123" hidden="1" customWidth="1"/>
    <col min="9" max="9" width="6.75" style="121" customWidth="1"/>
    <col min="10" max="10" width="10.125" style="124" customWidth="1"/>
    <col min="11" max="11" width="8.625" style="124" customWidth="1"/>
    <col min="12" max="12" width="6.5" style="64" hidden="1" customWidth="1"/>
    <col min="13" max="13" width="7.875" style="125" customWidth="1"/>
    <col min="14" max="14" width="7.125" style="123" customWidth="1"/>
    <col min="15" max="15" width="8" style="124" customWidth="1"/>
    <col min="16" max="16" width="8.125" style="123" customWidth="1"/>
    <col min="17" max="18" width="11.875" style="123" customWidth="1"/>
    <col min="19" max="19" width="12.5" style="123" customWidth="1"/>
    <col min="20" max="20" width="11.875" style="123" customWidth="1"/>
    <col min="21" max="21" width="35.25" style="120" customWidth="1"/>
    <col min="22" max="22" width="3.875" style="126" hidden="1" customWidth="1"/>
    <col min="23" max="23" width="5.25" style="126" customWidth="1"/>
    <col min="24" max="24" width="10.25" style="64" customWidth="1"/>
    <col min="25" max="25" width="7.875" style="122" customWidth="1"/>
    <col min="26" max="26" width="9.625" style="121" customWidth="1"/>
    <col min="27" max="27" width="6.375" style="64" hidden="1" customWidth="1"/>
    <col min="28" max="28" width="6.875" style="64" customWidth="1"/>
    <col min="29" max="29" width="12.25" style="127" customWidth="1"/>
    <col min="30" max="30" width="13.375" style="128" customWidth="1"/>
    <col min="31" max="31" width="15.125" style="128" customWidth="1"/>
    <col min="32" max="32" width="26.875" style="59" hidden="1" customWidth="1"/>
    <col min="33" max="33" width="12.125" style="60" hidden="1" customWidth="1"/>
    <col min="34" max="34" width="11.75" style="1" hidden="1" customWidth="1"/>
    <col min="35" max="37" width="7.75" style="1" hidden="1" customWidth="1"/>
    <col min="38" max="38" width="16.625" style="131" bestFit="1" customWidth="1"/>
    <col min="39" max="39" width="15.625" style="131" customWidth="1"/>
    <col min="40" max="40" width="11" style="131" customWidth="1"/>
    <col min="41" max="42" width="7.75" style="64"/>
    <col min="43" max="43" width="46" style="64" bestFit="1" customWidth="1"/>
    <col min="44" max="44" width="10.5" style="64" bestFit="1" customWidth="1"/>
    <col min="45" max="45" width="9.5" style="131" bestFit="1" customWidth="1"/>
    <col min="46" max="46" width="7.75" style="131"/>
    <col min="47" max="48" width="7.75" style="64"/>
    <col min="49" max="49" width="9.375" style="64" bestFit="1" customWidth="1"/>
    <col min="50" max="50" width="7.75" style="64"/>
    <col min="51" max="51" width="7.75" style="1"/>
    <col min="52" max="52" width="11.5" style="1" bestFit="1" customWidth="1"/>
    <col min="53" max="16384" width="7.75" style="1"/>
  </cols>
  <sheetData>
    <row r="1" spans="1:46" s="64" customFormat="1" ht="18.75">
      <c r="A1" s="304"/>
      <c r="B1" s="304"/>
      <c r="C1" s="304"/>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129"/>
      <c r="AG1" s="130"/>
      <c r="AL1" s="131"/>
      <c r="AM1" s="131"/>
      <c r="AN1" s="131"/>
      <c r="AS1" s="131"/>
      <c r="AT1" s="131"/>
    </row>
    <row r="2" spans="1:46" s="64" customFormat="1" ht="32.25" customHeight="1">
      <c r="A2" s="274" t="s">
        <v>249</v>
      </c>
      <c r="B2" s="274"/>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63"/>
      <c r="AL2" s="131"/>
      <c r="AM2" s="131"/>
      <c r="AN2" s="131"/>
      <c r="AS2" s="131"/>
      <c r="AT2" s="131"/>
    </row>
    <row r="3" spans="1:46" s="64" customFormat="1" ht="31.5" customHeight="1">
      <c r="A3" s="275"/>
      <c r="B3" s="275"/>
      <c r="C3" s="275"/>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c r="AD3" s="275"/>
      <c r="AE3" s="275"/>
      <c r="AF3" s="275"/>
      <c r="AG3" s="63"/>
      <c r="AL3" s="131"/>
      <c r="AM3" s="131"/>
      <c r="AN3" s="131"/>
      <c r="AS3" s="131"/>
      <c r="AT3" s="131"/>
    </row>
    <row r="4" spans="1:46" s="66" customFormat="1" ht="25.5" customHeight="1">
      <c r="A4" s="276" t="s">
        <v>3</v>
      </c>
      <c r="B4" s="279" t="s">
        <v>4</v>
      </c>
      <c r="C4" s="282" t="s">
        <v>41</v>
      </c>
      <c r="D4" s="283"/>
      <c r="E4" s="283"/>
      <c r="F4" s="283"/>
      <c r="G4" s="283"/>
      <c r="H4" s="283"/>
      <c r="I4" s="283"/>
      <c r="J4" s="283"/>
      <c r="K4" s="284"/>
      <c r="L4" s="285" t="s">
        <v>5</v>
      </c>
      <c r="M4" s="288" t="s">
        <v>6</v>
      </c>
      <c r="N4" s="269" t="s">
        <v>7</v>
      </c>
      <c r="O4" s="269" t="s">
        <v>8</v>
      </c>
      <c r="P4" s="292" t="s">
        <v>9</v>
      </c>
      <c r="Q4" s="293"/>
      <c r="R4" s="293"/>
      <c r="S4" s="293"/>
      <c r="T4" s="294"/>
      <c r="U4" s="292" t="s">
        <v>42</v>
      </c>
      <c r="V4" s="293"/>
      <c r="W4" s="293"/>
      <c r="X4" s="293"/>
      <c r="Y4" s="293"/>
      <c r="Z4" s="293"/>
      <c r="AA4" s="293"/>
      <c r="AB4" s="293"/>
      <c r="AC4" s="293"/>
      <c r="AD4" s="294"/>
      <c r="AE4" s="269" t="s">
        <v>10</v>
      </c>
      <c r="AF4" s="298" t="s">
        <v>0</v>
      </c>
      <c r="AG4" s="65"/>
      <c r="AL4" s="132"/>
      <c r="AM4" s="132"/>
      <c r="AN4" s="132"/>
      <c r="AS4" s="132"/>
      <c r="AT4" s="132"/>
    </row>
    <row r="5" spans="1:46" s="66" customFormat="1" ht="33" customHeight="1">
      <c r="A5" s="277"/>
      <c r="B5" s="280"/>
      <c r="C5" s="282" t="s">
        <v>40</v>
      </c>
      <c r="D5" s="283"/>
      <c r="E5" s="284"/>
      <c r="F5" s="282" t="s">
        <v>11</v>
      </c>
      <c r="G5" s="283"/>
      <c r="H5" s="283"/>
      <c r="I5" s="283"/>
      <c r="J5" s="283"/>
      <c r="K5" s="284"/>
      <c r="L5" s="286"/>
      <c r="M5" s="289"/>
      <c r="N5" s="270"/>
      <c r="O5" s="270"/>
      <c r="P5" s="295"/>
      <c r="Q5" s="296"/>
      <c r="R5" s="296"/>
      <c r="S5" s="296"/>
      <c r="T5" s="297"/>
      <c r="U5" s="295"/>
      <c r="V5" s="296"/>
      <c r="W5" s="296"/>
      <c r="X5" s="296"/>
      <c r="Y5" s="296"/>
      <c r="Z5" s="296"/>
      <c r="AA5" s="296"/>
      <c r="AB5" s="296"/>
      <c r="AC5" s="296"/>
      <c r="AD5" s="297"/>
      <c r="AE5" s="270"/>
      <c r="AF5" s="299"/>
      <c r="AG5" s="65"/>
      <c r="AL5" s="132"/>
      <c r="AM5" s="132"/>
      <c r="AN5" s="132"/>
      <c r="AS5" s="132"/>
      <c r="AT5" s="132"/>
    </row>
    <row r="6" spans="1:46" s="66" customFormat="1" ht="101.25" customHeight="1">
      <c r="A6" s="278"/>
      <c r="B6" s="281"/>
      <c r="C6" s="67" t="s">
        <v>12</v>
      </c>
      <c r="D6" s="67" t="s">
        <v>13</v>
      </c>
      <c r="E6" s="67" t="s">
        <v>14</v>
      </c>
      <c r="F6" s="67" t="s">
        <v>1</v>
      </c>
      <c r="G6" s="68" t="s">
        <v>15</v>
      </c>
      <c r="H6" s="69" t="s">
        <v>16</v>
      </c>
      <c r="I6" s="68" t="s">
        <v>17</v>
      </c>
      <c r="J6" s="69" t="s">
        <v>18</v>
      </c>
      <c r="K6" s="69" t="s">
        <v>19</v>
      </c>
      <c r="L6" s="287"/>
      <c r="M6" s="290"/>
      <c r="N6" s="291"/>
      <c r="O6" s="291"/>
      <c r="P6" s="69" t="s">
        <v>20</v>
      </c>
      <c r="Q6" s="69" t="s">
        <v>21</v>
      </c>
      <c r="R6" s="69" t="s">
        <v>22</v>
      </c>
      <c r="S6" s="69" t="s">
        <v>23</v>
      </c>
      <c r="T6" s="69" t="s">
        <v>248</v>
      </c>
      <c r="U6" s="67" t="s">
        <v>25</v>
      </c>
      <c r="V6" s="67" t="s">
        <v>156</v>
      </c>
      <c r="W6" s="67" t="s">
        <v>157</v>
      </c>
      <c r="X6" s="67" t="s">
        <v>26</v>
      </c>
      <c r="Y6" s="68" t="s">
        <v>27</v>
      </c>
      <c r="Z6" s="69" t="s">
        <v>28</v>
      </c>
      <c r="AA6" s="67" t="s">
        <v>29</v>
      </c>
      <c r="AB6" s="67" t="s">
        <v>30</v>
      </c>
      <c r="AC6" s="70" t="s">
        <v>31</v>
      </c>
      <c r="AD6" s="69" t="s">
        <v>32</v>
      </c>
      <c r="AE6" s="291"/>
      <c r="AF6" s="300"/>
      <c r="AG6" s="65"/>
      <c r="AL6" s="132" t="s">
        <v>170</v>
      </c>
      <c r="AM6" s="132" t="s">
        <v>186</v>
      </c>
      <c r="AN6" s="132"/>
      <c r="AS6" s="132"/>
      <c r="AT6" s="132"/>
    </row>
    <row r="7" spans="1:46" s="66" customFormat="1" ht="15" hidden="1" customHeight="1">
      <c r="A7" s="152"/>
      <c r="B7" s="153"/>
      <c r="C7" s="67"/>
      <c r="D7" s="67"/>
      <c r="E7" s="67"/>
      <c r="F7" s="67"/>
      <c r="G7" s="68"/>
      <c r="H7" s="69"/>
      <c r="I7" s="68"/>
      <c r="J7" s="143"/>
      <c r="K7" s="143"/>
      <c r="L7" s="154"/>
      <c r="M7" s="155"/>
      <c r="N7" s="156"/>
      <c r="O7" s="156"/>
      <c r="P7" s="69">
        <v>80000</v>
      </c>
      <c r="Q7" s="69">
        <f>P7*3</f>
        <v>240000</v>
      </c>
      <c r="R7" s="69"/>
      <c r="S7" s="69">
        <f>17000*30</f>
        <v>510000</v>
      </c>
      <c r="T7" s="69"/>
      <c r="U7" s="67"/>
      <c r="V7" s="67"/>
      <c r="W7" s="67"/>
      <c r="X7" s="67"/>
      <c r="Y7" s="68"/>
      <c r="Z7" s="69"/>
      <c r="AA7" s="67"/>
      <c r="AB7" s="67"/>
      <c r="AC7" s="70"/>
      <c r="AD7" s="69"/>
      <c r="AE7" s="156"/>
      <c r="AF7" s="157"/>
      <c r="AG7" s="65"/>
      <c r="AL7" s="132"/>
      <c r="AM7" s="132"/>
      <c r="AN7" s="132"/>
      <c r="AS7" s="132"/>
      <c r="AT7" s="132"/>
    </row>
    <row r="8" spans="1:46" s="74" customFormat="1" ht="21.75" customHeight="1">
      <c r="A8" s="71">
        <v>1</v>
      </c>
      <c r="B8" s="67">
        <v>2</v>
      </c>
      <c r="C8" s="67">
        <v>3</v>
      </c>
      <c r="D8" s="67">
        <v>4</v>
      </c>
      <c r="E8" s="67">
        <v>5</v>
      </c>
      <c r="F8" s="67">
        <v>6</v>
      </c>
      <c r="G8" s="69">
        <v>7</v>
      </c>
      <c r="H8" s="69"/>
      <c r="I8" s="69">
        <v>8</v>
      </c>
      <c r="J8" s="143">
        <v>9</v>
      </c>
      <c r="K8" s="143">
        <v>10</v>
      </c>
      <c r="L8" s="67"/>
      <c r="M8" s="72" t="s">
        <v>161</v>
      </c>
      <c r="N8" s="69">
        <v>12</v>
      </c>
      <c r="O8" s="69">
        <v>13</v>
      </c>
      <c r="P8" s="69">
        <v>14</v>
      </c>
      <c r="Q8" s="69">
        <v>15</v>
      </c>
      <c r="R8" s="69">
        <v>16</v>
      </c>
      <c r="S8" s="69">
        <v>17</v>
      </c>
      <c r="T8" s="69">
        <v>18</v>
      </c>
      <c r="U8" s="67">
        <v>19</v>
      </c>
      <c r="V8" s="67"/>
      <c r="W8" s="67"/>
      <c r="X8" s="67">
        <v>20</v>
      </c>
      <c r="Y8" s="68">
        <v>21</v>
      </c>
      <c r="Z8" s="69">
        <v>22</v>
      </c>
      <c r="AA8" s="67">
        <v>23</v>
      </c>
      <c r="AB8" s="67">
        <v>24</v>
      </c>
      <c r="AC8" s="70">
        <v>25</v>
      </c>
      <c r="AD8" s="69">
        <v>26</v>
      </c>
      <c r="AE8" s="69" t="s">
        <v>33</v>
      </c>
      <c r="AF8" s="73"/>
      <c r="AG8" s="65"/>
      <c r="AL8" s="133"/>
      <c r="AM8" s="133"/>
      <c r="AN8" s="133"/>
      <c r="AS8" s="133"/>
      <c r="AT8" s="133"/>
    </row>
    <row r="9" spans="1:46" s="81" customFormat="1" ht="28.5" customHeight="1">
      <c r="A9" s="71"/>
      <c r="B9" s="75" t="s">
        <v>52</v>
      </c>
      <c r="C9" s="67"/>
      <c r="D9" s="67"/>
      <c r="E9" s="67"/>
      <c r="F9" s="67"/>
      <c r="G9" s="68"/>
      <c r="H9" s="69"/>
      <c r="I9" s="68"/>
      <c r="J9" s="76"/>
      <c r="K9" s="76"/>
      <c r="L9" s="69"/>
      <c r="M9" s="77"/>
      <c r="N9" s="69"/>
      <c r="O9" s="69"/>
      <c r="P9" s="69"/>
      <c r="Q9" s="69"/>
      <c r="R9" s="69"/>
      <c r="S9" s="69"/>
      <c r="T9" s="69"/>
      <c r="U9" s="75"/>
      <c r="V9" s="67"/>
      <c r="W9" s="78"/>
      <c r="X9" s="67"/>
      <c r="Y9" s="69"/>
      <c r="Z9" s="69"/>
      <c r="AA9" s="67"/>
      <c r="AB9" s="67"/>
      <c r="AC9" s="70"/>
      <c r="AD9" s="69"/>
      <c r="AE9" s="69"/>
      <c r="AF9" s="79"/>
      <c r="AG9" s="80"/>
      <c r="AL9" s="132" t="s">
        <v>171</v>
      </c>
      <c r="AM9" s="134"/>
      <c r="AN9" s="134"/>
      <c r="AS9" s="134"/>
      <c r="AT9" s="134"/>
    </row>
    <row r="10" spans="1:46" s="90" customFormat="1" ht="24.75" customHeight="1">
      <c r="A10" s="256">
        <v>1</v>
      </c>
      <c r="B10" s="259" t="s">
        <v>187</v>
      </c>
      <c r="C10" s="262">
        <v>64</v>
      </c>
      <c r="D10" s="262">
        <v>71</v>
      </c>
      <c r="E10" s="262">
        <v>878.73</v>
      </c>
      <c r="F10" s="262" t="s">
        <v>2</v>
      </c>
      <c r="G10" s="301">
        <v>742</v>
      </c>
      <c r="H10" s="301">
        <v>431.4</v>
      </c>
      <c r="I10" s="301">
        <f>E10-G10</f>
        <v>136.73000000000002</v>
      </c>
      <c r="J10" s="301">
        <f>G10+G17</f>
        <v>994</v>
      </c>
      <c r="K10" s="301">
        <f>J10</f>
        <v>994</v>
      </c>
      <c r="L10" s="262"/>
      <c r="M10" s="246">
        <f>J10/K10</f>
        <v>1</v>
      </c>
      <c r="N10" s="252">
        <f>IF(M10&lt;0.1,2,IF(M10&lt;0.2,3,IF(M10&lt;0.3,5,IF(M10&gt;=0.7,12,IF(M10&gt;=0.3,6)))))</f>
        <v>12</v>
      </c>
      <c r="O10" s="249">
        <v>4</v>
      </c>
      <c r="P10" s="249">
        <v>80000</v>
      </c>
      <c r="Q10" s="249">
        <f>J10*P10</f>
        <v>79520000</v>
      </c>
      <c r="R10" s="249">
        <f>Q10*3</f>
        <v>238560000</v>
      </c>
      <c r="S10" s="249">
        <f>N10*O10*S7</f>
        <v>24480000</v>
      </c>
      <c r="T10" s="249">
        <f>SUM(Q10:S18)</f>
        <v>342560000</v>
      </c>
      <c r="U10" s="82" t="s">
        <v>175</v>
      </c>
      <c r="V10" s="144"/>
      <c r="W10" s="160"/>
      <c r="X10" s="83" t="s">
        <v>38</v>
      </c>
      <c r="Y10" s="84">
        <v>518.73</v>
      </c>
      <c r="Z10" s="85">
        <v>180000</v>
      </c>
      <c r="AA10" s="86"/>
      <c r="AB10" s="87">
        <v>1</v>
      </c>
      <c r="AC10" s="88">
        <f t="shared" ref="AC10:AC73" si="0">Y10*Z10*AB10</f>
        <v>93371400</v>
      </c>
      <c r="AD10" s="269">
        <f>AC10+AC11+AC12+AC13+AC14+AC15+AC16+AC17+AC18</f>
        <v>174866400</v>
      </c>
      <c r="AE10" s="269">
        <f>T10+AD10</f>
        <v>517426400</v>
      </c>
      <c r="AF10" s="89" t="s">
        <v>51</v>
      </c>
      <c r="AL10" s="132" t="s">
        <v>171</v>
      </c>
      <c r="AM10" s="135">
        <v>33059004649</v>
      </c>
      <c r="AN10" s="135"/>
      <c r="AS10" s="135"/>
      <c r="AT10" s="135"/>
    </row>
    <row r="11" spans="1:46" s="90" customFormat="1" ht="22.5" customHeight="1">
      <c r="A11" s="257"/>
      <c r="B11" s="260"/>
      <c r="C11" s="263"/>
      <c r="D11" s="263"/>
      <c r="E11" s="263"/>
      <c r="F11" s="263"/>
      <c r="G11" s="302"/>
      <c r="H11" s="302"/>
      <c r="I11" s="302"/>
      <c r="J11" s="302"/>
      <c r="K11" s="302"/>
      <c r="L11" s="263"/>
      <c r="M11" s="247"/>
      <c r="N11" s="253"/>
      <c r="O11" s="250"/>
      <c r="P11" s="250"/>
      <c r="Q11" s="250"/>
      <c r="R11" s="250"/>
      <c r="S11" s="250"/>
      <c r="T11" s="250"/>
      <c r="U11" s="82" t="s">
        <v>167</v>
      </c>
      <c r="V11" s="144">
        <v>25</v>
      </c>
      <c r="W11" s="160">
        <f>(G10-Y10)/V11</f>
        <v>8.9307999999999996</v>
      </c>
      <c r="X11" s="144" t="s">
        <v>34</v>
      </c>
      <c r="Y11" s="84">
        <v>18</v>
      </c>
      <c r="Z11" s="143"/>
      <c r="AA11" s="144"/>
      <c r="AB11" s="87"/>
      <c r="AC11" s="88">
        <f t="shared" si="0"/>
        <v>0</v>
      </c>
      <c r="AD11" s="270"/>
      <c r="AE11" s="270"/>
      <c r="AF11" s="89"/>
      <c r="AL11" s="132" t="s">
        <v>171</v>
      </c>
      <c r="AM11" s="135"/>
      <c r="AN11" s="135"/>
      <c r="AS11" s="135"/>
      <c r="AT11" s="135"/>
    </row>
    <row r="12" spans="1:46" s="90" customFormat="1" ht="22.5" customHeight="1">
      <c r="A12" s="257"/>
      <c r="B12" s="260"/>
      <c r="C12" s="263"/>
      <c r="D12" s="263"/>
      <c r="E12" s="263"/>
      <c r="F12" s="263"/>
      <c r="G12" s="302"/>
      <c r="H12" s="302"/>
      <c r="I12" s="302"/>
      <c r="J12" s="302"/>
      <c r="K12" s="302"/>
      <c r="L12" s="264"/>
      <c r="M12" s="247"/>
      <c r="N12" s="253"/>
      <c r="O12" s="250"/>
      <c r="P12" s="250"/>
      <c r="Q12" s="250"/>
      <c r="R12" s="250"/>
      <c r="S12" s="250"/>
      <c r="T12" s="250"/>
      <c r="U12" s="91" t="s">
        <v>158</v>
      </c>
      <c r="V12" s="144"/>
      <c r="W12" s="160"/>
      <c r="X12" s="144" t="s">
        <v>34</v>
      </c>
      <c r="Y12" s="84">
        <v>9</v>
      </c>
      <c r="Z12" s="85">
        <v>3850000</v>
      </c>
      <c r="AA12" s="144"/>
      <c r="AB12" s="87">
        <v>1</v>
      </c>
      <c r="AC12" s="88">
        <f t="shared" si="0"/>
        <v>34650000</v>
      </c>
      <c r="AD12" s="270"/>
      <c r="AE12" s="270"/>
      <c r="AF12" s="89"/>
      <c r="AL12" s="132" t="s">
        <v>171</v>
      </c>
      <c r="AM12" s="135"/>
      <c r="AN12" s="135"/>
      <c r="AS12" s="135"/>
      <c r="AT12" s="135"/>
    </row>
    <row r="13" spans="1:46" s="90" customFormat="1" ht="22.5" customHeight="1">
      <c r="A13" s="257"/>
      <c r="B13" s="260"/>
      <c r="C13" s="263"/>
      <c r="D13" s="263"/>
      <c r="E13" s="263"/>
      <c r="F13" s="263"/>
      <c r="G13" s="302"/>
      <c r="H13" s="302"/>
      <c r="I13" s="302"/>
      <c r="J13" s="302"/>
      <c r="K13" s="302"/>
      <c r="L13" s="147"/>
      <c r="M13" s="247"/>
      <c r="N13" s="253"/>
      <c r="O13" s="250"/>
      <c r="P13" s="250"/>
      <c r="Q13" s="250"/>
      <c r="R13" s="250"/>
      <c r="S13" s="250"/>
      <c r="T13" s="250"/>
      <c r="U13" s="91" t="s">
        <v>164</v>
      </c>
      <c r="V13" s="92"/>
      <c r="W13" s="93">
        <f>W11*0.3</f>
        <v>2.6792399999999996</v>
      </c>
      <c r="X13" s="144" t="s">
        <v>34</v>
      </c>
      <c r="Y13" s="84">
        <v>3</v>
      </c>
      <c r="Z13" s="85">
        <v>3850000</v>
      </c>
      <c r="AA13" s="86"/>
      <c r="AB13" s="87">
        <v>0.5</v>
      </c>
      <c r="AC13" s="88">
        <f t="shared" si="0"/>
        <v>5775000</v>
      </c>
      <c r="AD13" s="270"/>
      <c r="AE13" s="270"/>
      <c r="AF13" s="89"/>
      <c r="AL13" s="132"/>
      <c r="AM13" s="135"/>
      <c r="AN13" s="135"/>
      <c r="AS13" s="135"/>
      <c r="AT13" s="135"/>
    </row>
    <row r="14" spans="1:46" s="90" customFormat="1" ht="22.5" customHeight="1">
      <c r="A14" s="257"/>
      <c r="B14" s="260"/>
      <c r="C14" s="263"/>
      <c r="D14" s="263"/>
      <c r="E14" s="263"/>
      <c r="F14" s="263"/>
      <c r="G14" s="302"/>
      <c r="H14" s="302"/>
      <c r="I14" s="302"/>
      <c r="J14" s="302"/>
      <c r="K14" s="302"/>
      <c r="L14" s="147"/>
      <c r="M14" s="247"/>
      <c r="N14" s="253"/>
      <c r="O14" s="250"/>
      <c r="P14" s="250"/>
      <c r="Q14" s="250"/>
      <c r="R14" s="250"/>
      <c r="S14" s="250"/>
      <c r="T14" s="250"/>
      <c r="U14" s="91" t="s">
        <v>165</v>
      </c>
      <c r="V14" s="144"/>
      <c r="W14" s="160"/>
      <c r="X14" s="144" t="s">
        <v>34</v>
      </c>
      <c r="Y14" s="84">
        <v>6</v>
      </c>
      <c r="Z14" s="85">
        <v>3850000</v>
      </c>
      <c r="AA14" s="86"/>
      <c r="AB14" s="87">
        <v>0</v>
      </c>
      <c r="AC14" s="88">
        <f t="shared" si="0"/>
        <v>0</v>
      </c>
      <c r="AD14" s="270"/>
      <c r="AE14" s="270"/>
      <c r="AF14" s="89"/>
      <c r="AL14" s="132"/>
      <c r="AM14" s="135"/>
      <c r="AN14" s="135"/>
      <c r="AS14" s="135"/>
      <c r="AT14" s="135"/>
    </row>
    <row r="15" spans="1:46" s="90" customFormat="1" ht="22.5" customHeight="1">
      <c r="A15" s="257"/>
      <c r="B15" s="260"/>
      <c r="C15" s="263"/>
      <c r="D15" s="263"/>
      <c r="E15" s="263"/>
      <c r="F15" s="263"/>
      <c r="G15" s="302"/>
      <c r="H15" s="302"/>
      <c r="I15" s="302"/>
      <c r="J15" s="302"/>
      <c r="K15" s="302"/>
      <c r="L15" s="144"/>
      <c r="M15" s="247"/>
      <c r="N15" s="253"/>
      <c r="O15" s="250"/>
      <c r="P15" s="250"/>
      <c r="Q15" s="250"/>
      <c r="R15" s="250"/>
      <c r="S15" s="250"/>
      <c r="T15" s="250"/>
      <c r="U15" s="94" t="s">
        <v>226</v>
      </c>
      <c r="V15" s="83" t="s">
        <v>38</v>
      </c>
      <c r="W15" s="95">
        <v>1</v>
      </c>
      <c r="X15" s="144" t="s">
        <v>36</v>
      </c>
      <c r="Y15" s="96"/>
      <c r="Z15" s="97"/>
      <c r="AA15" s="98"/>
      <c r="AB15" s="87">
        <v>0</v>
      </c>
      <c r="AC15" s="88">
        <f t="shared" si="0"/>
        <v>0</v>
      </c>
      <c r="AD15" s="270"/>
      <c r="AE15" s="270"/>
      <c r="AF15" s="89"/>
      <c r="AG15" s="143"/>
      <c r="AL15" s="132" t="s">
        <v>171</v>
      </c>
      <c r="AM15" s="135"/>
      <c r="AN15" s="135"/>
      <c r="AS15" s="135"/>
      <c r="AT15" s="135"/>
    </row>
    <row r="16" spans="1:46" s="90" customFormat="1" ht="53.25" customHeight="1">
      <c r="A16" s="257"/>
      <c r="B16" s="260"/>
      <c r="C16" s="263"/>
      <c r="D16" s="263"/>
      <c r="E16" s="263"/>
      <c r="F16" s="263"/>
      <c r="G16" s="302"/>
      <c r="H16" s="302"/>
      <c r="I16" s="302"/>
      <c r="J16" s="302"/>
      <c r="K16" s="302"/>
      <c r="L16" s="146"/>
      <c r="M16" s="247"/>
      <c r="N16" s="253"/>
      <c r="O16" s="250"/>
      <c r="P16" s="250"/>
      <c r="Q16" s="250"/>
      <c r="R16" s="250"/>
      <c r="S16" s="250"/>
      <c r="T16" s="250"/>
      <c r="U16" s="94" t="s">
        <v>227</v>
      </c>
      <c r="V16" s="95"/>
      <c r="W16" s="95">
        <f>0.11*160</f>
        <v>17.600000000000001</v>
      </c>
      <c r="X16" s="144" t="s">
        <v>38</v>
      </c>
      <c r="Y16" s="84">
        <v>6</v>
      </c>
      <c r="Z16" s="85"/>
      <c r="AA16" s="86"/>
      <c r="AB16" s="87">
        <v>0</v>
      </c>
      <c r="AC16" s="88">
        <f t="shared" si="0"/>
        <v>0</v>
      </c>
      <c r="AD16" s="270"/>
      <c r="AE16" s="270"/>
      <c r="AF16" s="89"/>
      <c r="AL16" s="132" t="s">
        <v>171</v>
      </c>
      <c r="AM16" s="135"/>
      <c r="AN16" s="135"/>
      <c r="AS16" s="135"/>
      <c r="AT16" s="135"/>
    </row>
    <row r="17" spans="1:46" s="90" customFormat="1" ht="22.5" customHeight="1">
      <c r="A17" s="257"/>
      <c r="B17" s="260"/>
      <c r="C17" s="263"/>
      <c r="D17" s="262">
        <v>732</v>
      </c>
      <c r="E17" s="262">
        <v>264</v>
      </c>
      <c r="F17" s="262" t="s">
        <v>2</v>
      </c>
      <c r="G17" s="301">
        <v>252</v>
      </c>
      <c r="H17" s="301">
        <v>431.4</v>
      </c>
      <c r="I17" s="301">
        <f>E17-G17</f>
        <v>12</v>
      </c>
      <c r="J17" s="302"/>
      <c r="K17" s="302"/>
      <c r="L17" s="146"/>
      <c r="M17" s="247"/>
      <c r="N17" s="253"/>
      <c r="O17" s="250"/>
      <c r="P17" s="250"/>
      <c r="Q17" s="250"/>
      <c r="R17" s="250"/>
      <c r="S17" s="250"/>
      <c r="T17" s="250"/>
      <c r="U17" s="82" t="s">
        <v>175</v>
      </c>
      <c r="V17" s="144"/>
      <c r="W17" s="160"/>
      <c r="X17" s="83" t="s">
        <v>38</v>
      </c>
      <c r="Y17" s="84">
        <v>109</v>
      </c>
      <c r="Z17" s="85">
        <v>180000</v>
      </c>
      <c r="AA17" s="86"/>
      <c r="AB17" s="87">
        <v>1</v>
      </c>
      <c r="AC17" s="88">
        <f t="shared" si="0"/>
        <v>19620000</v>
      </c>
      <c r="AD17" s="270"/>
      <c r="AE17" s="270"/>
      <c r="AF17" s="89"/>
      <c r="AL17" s="132" t="s">
        <v>171</v>
      </c>
      <c r="AM17" s="135"/>
      <c r="AN17" s="135"/>
      <c r="AS17" s="135"/>
      <c r="AT17" s="135"/>
    </row>
    <row r="18" spans="1:46" s="90" customFormat="1" ht="22.5" customHeight="1">
      <c r="A18" s="257"/>
      <c r="B18" s="260"/>
      <c r="C18" s="263"/>
      <c r="D18" s="263"/>
      <c r="E18" s="263"/>
      <c r="F18" s="263"/>
      <c r="G18" s="302"/>
      <c r="H18" s="302"/>
      <c r="I18" s="302"/>
      <c r="J18" s="302"/>
      <c r="K18" s="302"/>
      <c r="L18" s="146"/>
      <c r="M18" s="247"/>
      <c r="N18" s="253"/>
      <c r="O18" s="250"/>
      <c r="P18" s="250"/>
      <c r="Q18" s="250"/>
      <c r="R18" s="250"/>
      <c r="S18" s="250"/>
      <c r="T18" s="250"/>
      <c r="U18" s="82" t="s">
        <v>188</v>
      </c>
      <c r="V18" s="144"/>
      <c r="W18" s="160"/>
      <c r="X18" s="83" t="s">
        <v>38</v>
      </c>
      <c r="Y18" s="84">
        <v>143</v>
      </c>
      <c r="Z18" s="85">
        <v>150000</v>
      </c>
      <c r="AA18" s="86"/>
      <c r="AB18" s="87">
        <v>1</v>
      </c>
      <c r="AC18" s="88">
        <f t="shared" si="0"/>
        <v>21450000</v>
      </c>
      <c r="AD18" s="270"/>
      <c r="AE18" s="270"/>
      <c r="AF18" s="89"/>
      <c r="AL18" s="132"/>
      <c r="AM18" s="135"/>
      <c r="AN18" s="135"/>
      <c r="AS18" s="135"/>
      <c r="AT18" s="135"/>
    </row>
    <row r="19" spans="1:46" s="90" customFormat="1" ht="22.5" customHeight="1">
      <c r="A19" s="256">
        <v>2</v>
      </c>
      <c r="B19" s="259" t="s">
        <v>190</v>
      </c>
      <c r="C19" s="262">
        <v>62</v>
      </c>
      <c r="D19" s="262">
        <v>238</v>
      </c>
      <c r="E19" s="262">
        <v>474.6</v>
      </c>
      <c r="F19" s="262" t="s">
        <v>2</v>
      </c>
      <c r="G19" s="301">
        <v>475</v>
      </c>
      <c r="H19" s="301"/>
      <c r="I19" s="309">
        <f>E19-G19</f>
        <v>-0.39999999999997726</v>
      </c>
      <c r="J19" s="309">
        <f>G19+G24</f>
        <v>1555</v>
      </c>
      <c r="K19" s="309">
        <f>J19+J28</f>
        <v>1555</v>
      </c>
      <c r="L19" s="243"/>
      <c r="M19" s="246">
        <f>J19/K19</f>
        <v>1</v>
      </c>
      <c r="N19" s="249">
        <f>IF(M19&lt;0.1,2,IF(M19&lt;0.2,3,IF(M19&lt;0.3,5,IF(M19&gt;=0.7,12,IF(M19&gt;=0.3,6)))))</f>
        <v>12</v>
      </c>
      <c r="O19" s="252">
        <v>4</v>
      </c>
      <c r="P19" s="252">
        <v>80000</v>
      </c>
      <c r="Q19" s="252">
        <f>(J19+J28)*P19</f>
        <v>124400000</v>
      </c>
      <c r="R19" s="252">
        <f>Q19*3</f>
        <v>373200000</v>
      </c>
      <c r="S19" s="252">
        <f>N19*O19*S7</f>
        <v>24480000</v>
      </c>
      <c r="T19" s="252">
        <f>SUM(Q19:S28)</f>
        <v>522080000</v>
      </c>
      <c r="U19" s="82" t="s">
        <v>184</v>
      </c>
      <c r="V19" s="144">
        <v>20</v>
      </c>
      <c r="W19" s="160">
        <f>G19/V19</f>
        <v>23.75</v>
      </c>
      <c r="X19" s="144" t="s">
        <v>34</v>
      </c>
      <c r="Y19" s="84">
        <v>15</v>
      </c>
      <c r="Z19" s="143"/>
      <c r="AA19" s="144"/>
      <c r="AB19" s="87"/>
      <c r="AC19" s="88">
        <f t="shared" si="0"/>
        <v>0</v>
      </c>
      <c r="AD19" s="305">
        <f>AC19+AC20+AC21+AC22+AC23+AC24+AC25+AC26+AC27+AC28</f>
        <v>243500000</v>
      </c>
      <c r="AE19" s="305">
        <f>T19+AD19+AD28</f>
        <v>765580000</v>
      </c>
      <c r="AF19" s="99" t="s">
        <v>180</v>
      </c>
      <c r="AL19" s="132" t="s">
        <v>171</v>
      </c>
      <c r="AM19" s="135">
        <v>33071005890</v>
      </c>
      <c r="AN19" s="135"/>
      <c r="AS19" s="135"/>
      <c r="AT19" s="135"/>
    </row>
    <row r="20" spans="1:46" s="90" customFormat="1" ht="22.5" customHeight="1">
      <c r="A20" s="257"/>
      <c r="B20" s="260"/>
      <c r="C20" s="263"/>
      <c r="D20" s="263"/>
      <c r="E20" s="263"/>
      <c r="F20" s="263"/>
      <c r="G20" s="302"/>
      <c r="H20" s="302"/>
      <c r="I20" s="310"/>
      <c r="J20" s="310"/>
      <c r="K20" s="310"/>
      <c r="L20" s="244"/>
      <c r="M20" s="247"/>
      <c r="N20" s="250"/>
      <c r="O20" s="253"/>
      <c r="P20" s="253"/>
      <c r="Q20" s="253"/>
      <c r="R20" s="253"/>
      <c r="S20" s="253"/>
      <c r="T20" s="253"/>
      <c r="U20" s="91" t="s">
        <v>158</v>
      </c>
      <c r="V20" s="144"/>
      <c r="W20" s="160"/>
      <c r="X20" s="144" t="s">
        <v>34</v>
      </c>
      <c r="Y20" s="84">
        <v>15</v>
      </c>
      <c r="Z20" s="143">
        <v>2500000</v>
      </c>
      <c r="AA20" s="144"/>
      <c r="AB20" s="87">
        <v>1</v>
      </c>
      <c r="AC20" s="88">
        <f t="shared" si="0"/>
        <v>37500000</v>
      </c>
      <c r="AD20" s="306"/>
      <c r="AE20" s="306"/>
      <c r="AF20" s="86"/>
      <c r="AL20" s="132" t="s">
        <v>171</v>
      </c>
      <c r="AM20" s="135"/>
      <c r="AN20" s="135"/>
      <c r="AS20" s="135"/>
      <c r="AT20" s="135"/>
    </row>
    <row r="21" spans="1:46" s="90" customFormat="1" ht="22.5" customHeight="1">
      <c r="A21" s="257"/>
      <c r="B21" s="260"/>
      <c r="C21" s="263"/>
      <c r="D21" s="263"/>
      <c r="E21" s="263"/>
      <c r="F21" s="263"/>
      <c r="G21" s="302"/>
      <c r="H21" s="302"/>
      <c r="I21" s="310"/>
      <c r="J21" s="310"/>
      <c r="K21" s="310"/>
      <c r="L21" s="244"/>
      <c r="M21" s="247"/>
      <c r="N21" s="250"/>
      <c r="O21" s="253"/>
      <c r="P21" s="253"/>
      <c r="Q21" s="253"/>
      <c r="R21" s="253"/>
      <c r="S21" s="253"/>
      <c r="T21" s="253"/>
      <c r="U21" s="100" t="s">
        <v>243</v>
      </c>
      <c r="V21" s="92"/>
      <c r="W21" s="93"/>
      <c r="X21" s="144" t="s">
        <v>34</v>
      </c>
      <c r="Y21" s="84">
        <v>10</v>
      </c>
      <c r="Z21" s="143"/>
      <c r="AA21" s="86"/>
      <c r="AB21" s="87"/>
      <c r="AC21" s="88">
        <f t="shared" si="0"/>
        <v>0</v>
      </c>
      <c r="AD21" s="306"/>
      <c r="AE21" s="306"/>
      <c r="AF21" s="86"/>
      <c r="AL21" s="132" t="s">
        <v>171</v>
      </c>
      <c r="AM21" s="135"/>
      <c r="AN21" s="135"/>
      <c r="AS21" s="135"/>
      <c r="AT21" s="135"/>
    </row>
    <row r="22" spans="1:46" s="90" customFormat="1" ht="22.5" customHeight="1">
      <c r="A22" s="257"/>
      <c r="B22" s="260"/>
      <c r="C22" s="263"/>
      <c r="D22" s="263"/>
      <c r="E22" s="263"/>
      <c r="F22" s="263"/>
      <c r="G22" s="302"/>
      <c r="H22" s="302"/>
      <c r="I22" s="310"/>
      <c r="J22" s="310"/>
      <c r="K22" s="310"/>
      <c r="L22" s="244"/>
      <c r="M22" s="247"/>
      <c r="N22" s="250"/>
      <c r="O22" s="253"/>
      <c r="P22" s="253"/>
      <c r="Q22" s="253"/>
      <c r="R22" s="253"/>
      <c r="S22" s="253"/>
      <c r="T22" s="253"/>
      <c r="U22" s="91" t="s">
        <v>158</v>
      </c>
      <c r="V22" s="144"/>
      <c r="W22" s="160"/>
      <c r="X22" s="144" t="s">
        <v>34</v>
      </c>
      <c r="Y22" s="84">
        <v>9</v>
      </c>
      <c r="Z22" s="143">
        <v>1800000</v>
      </c>
      <c r="AA22" s="144"/>
      <c r="AB22" s="87">
        <v>1</v>
      </c>
      <c r="AC22" s="88">
        <f t="shared" si="0"/>
        <v>16200000</v>
      </c>
      <c r="AD22" s="306"/>
      <c r="AE22" s="306"/>
      <c r="AF22" s="86"/>
      <c r="AL22" s="132"/>
      <c r="AM22" s="135"/>
      <c r="AN22" s="135"/>
      <c r="AS22" s="135"/>
      <c r="AT22" s="135"/>
    </row>
    <row r="23" spans="1:46" s="90" customFormat="1" ht="22.5" customHeight="1">
      <c r="A23" s="257"/>
      <c r="B23" s="260"/>
      <c r="C23" s="263"/>
      <c r="D23" s="263"/>
      <c r="E23" s="263"/>
      <c r="F23" s="263"/>
      <c r="G23" s="302"/>
      <c r="H23" s="302"/>
      <c r="I23" s="310"/>
      <c r="J23" s="310"/>
      <c r="K23" s="310"/>
      <c r="L23" s="244"/>
      <c r="M23" s="247"/>
      <c r="N23" s="250"/>
      <c r="O23" s="253"/>
      <c r="P23" s="253"/>
      <c r="Q23" s="253"/>
      <c r="R23" s="253"/>
      <c r="S23" s="253"/>
      <c r="T23" s="253"/>
      <c r="U23" s="91" t="s">
        <v>164</v>
      </c>
      <c r="V23" s="144"/>
      <c r="W23" s="160">
        <f>W19*0.3</f>
        <v>7.125</v>
      </c>
      <c r="X23" s="144" t="s">
        <v>34</v>
      </c>
      <c r="Y23" s="84">
        <v>1</v>
      </c>
      <c r="Z23" s="143">
        <v>1800000</v>
      </c>
      <c r="AA23" s="86"/>
      <c r="AB23" s="87">
        <v>0.5</v>
      </c>
      <c r="AC23" s="88">
        <f t="shared" si="0"/>
        <v>900000</v>
      </c>
      <c r="AD23" s="306"/>
      <c r="AE23" s="306"/>
      <c r="AF23" s="86"/>
      <c r="AL23" s="132" t="s">
        <v>171</v>
      </c>
      <c r="AM23" s="135"/>
      <c r="AN23" s="135"/>
      <c r="AS23" s="135"/>
      <c r="AT23" s="135"/>
    </row>
    <row r="24" spans="1:46" s="90" customFormat="1" ht="22.5" customHeight="1">
      <c r="A24" s="257"/>
      <c r="B24" s="260"/>
      <c r="C24" s="263"/>
      <c r="D24" s="262">
        <v>237</v>
      </c>
      <c r="E24" s="262">
        <v>1080.0999999999999</v>
      </c>
      <c r="F24" s="262" t="s">
        <v>2</v>
      </c>
      <c r="G24" s="301">
        <v>1080</v>
      </c>
      <c r="H24" s="151"/>
      <c r="I24" s="309">
        <f>E24-G24</f>
        <v>9.9999999999909051E-2</v>
      </c>
      <c r="J24" s="310"/>
      <c r="K24" s="310"/>
      <c r="L24" s="139"/>
      <c r="M24" s="247"/>
      <c r="N24" s="250"/>
      <c r="O24" s="253"/>
      <c r="P24" s="253"/>
      <c r="Q24" s="253"/>
      <c r="R24" s="253"/>
      <c r="S24" s="253"/>
      <c r="T24" s="253"/>
      <c r="U24" s="82" t="s">
        <v>162</v>
      </c>
      <c r="V24" s="144">
        <v>25</v>
      </c>
      <c r="W24" s="160">
        <f>G24/V24</f>
        <v>43.2</v>
      </c>
      <c r="X24" s="144" t="s">
        <v>34</v>
      </c>
      <c r="Y24" s="84">
        <v>30</v>
      </c>
      <c r="Z24" s="85"/>
      <c r="AA24" s="86"/>
      <c r="AB24" s="87"/>
      <c r="AC24" s="88">
        <f t="shared" si="0"/>
        <v>0</v>
      </c>
      <c r="AD24" s="306"/>
      <c r="AE24" s="306"/>
      <c r="AF24" s="99" t="s">
        <v>181</v>
      </c>
      <c r="AL24" s="132" t="s">
        <v>171</v>
      </c>
      <c r="AM24" s="135"/>
      <c r="AN24" s="135"/>
      <c r="AS24" s="135"/>
      <c r="AT24" s="135"/>
    </row>
    <row r="25" spans="1:46" s="90" customFormat="1" ht="22.5" customHeight="1">
      <c r="A25" s="257"/>
      <c r="B25" s="260"/>
      <c r="C25" s="263"/>
      <c r="D25" s="263"/>
      <c r="E25" s="263"/>
      <c r="F25" s="263"/>
      <c r="G25" s="302"/>
      <c r="H25" s="151"/>
      <c r="I25" s="310"/>
      <c r="J25" s="310"/>
      <c r="K25" s="310"/>
      <c r="L25" s="139"/>
      <c r="M25" s="247"/>
      <c r="N25" s="250"/>
      <c r="O25" s="253"/>
      <c r="P25" s="253"/>
      <c r="Q25" s="253"/>
      <c r="R25" s="253"/>
      <c r="S25" s="253"/>
      <c r="T25" s="253"/>
      <c r="U25" s="91" t="s">
        <v>158</v>
      </c>
      <c r="V25" s="92"/>
      <c r="W25" s="93"/>
      <c r="X25" s="83" t="s">
        <v>38</v>
      </c>
      <c r="Y25" s="84">
        <v>30</v>
      </c>
      <c r="Z25" s="143">
        <v>4500000</v>
      </c>
      <c r="AA25" s="144"/>
      <c r="AB25" s="87">
        <v>1</v>
      </c>
      <c r="AC25" s="88">
        <f t="shared" si="0"/>
        <v>135000000</v>
      </c>
      <c r="AD25" s="306"/>
      <c r="AE25" s="306"/>
      <c r="AF25" s="86"/>
      <c r="AL25" s="132"/>
      <c r="AM25" s="135"/>
      <c r="AN25" s="135"/>
      <c r="AS25" s="135"/>
      <c r="AT25" s="135"/>
    </row>
    <row r="26" spans="1:46" s="90" customFormat="1" ht="22.5" customHeight="1">
      <c r="A26" s="257"/>
      <c r="B26" s="260"/>
      <c r="C26" s="263"/>
      <c r="D26" s="263"/>
      <c r="E26" s="263"/>
      <c r="F26" s="263"/>
      <c r="G26" s="302"/>
      <c r="H26" s="151"/>
      <c r="I26" s="310"/>
      <c r="J26" s="310"/>
      <c r="K26" s="310"/>
      <c r="L26" s="139"/>
      <c r="M26" s="247"/>
      <c r="N26" s="250"/>
      <c r="O26" s="253"/>
      <c r="P26" s="253"/>
      <c r="Q26" s="253"/>
      <c r="R26" s="253"/>
      <c r="S26" s="253"/>
      <c r="T26" s="253"/>
      <c r="U26" s="82" t="s">
        <v>166</v>
      </c>
      <c r="V26" s="144"/>
      <c r="W26" s="160"/>
      <c r="X26" s="144" t="s">
        <v>34</v>
      </c>
      <c r="Y26" s="84">
        <v>15</v>
      </c>
      <c r="Z26" s="85"/>
      <c r="AA26" s="86"/>
      <c r="AB26" s="87"/>
      <c r="AC26" s="88">
        <f t="shared" si="0"/>
        <v>0</v>
      </c>
      <c r="AD26" s="306"/>
      <c r="AE26" s="306"/>
      <c r="AF26" s="86"/>
      <c r="AL26" s="132"/>
      <c r="AM26" s="135"/>
      <c r="AN26" s="135"/>
      <c r="AS26" s="135"/>
      <c r="AT26" s="135"/>
    </row>
    <row r="27" spans="1:46" s="90" customFormat="1" ht="22.5" customHeight="1">
      <c r="A27" s="257"/>
      <c r="B27" s="260"/>
      <c r="C27" s="263"/>
      <c r="D27" s="263"/>
      <c r="E27" s="263"/>
      <c r="F27" s="263"/>
      <c r="G27" s="302"/>
      <c r="H27" s="151"/>
      <c r="I27" s="310"/>
      <c r="J27" s="310"/>
      <c r="K27" s="310"/>
      <c r="L27" s="139"/>
      <c r="M27" s="247"/>
      <c r="N27" s="250"/>
      <c r="O27" s="253"/>
      <c r="P27" s="253"/>
      <c r="Q27" s="253"/>
      <c r="R27" s="253"/>
      <c r="S27" s="253"/>
      <c r="T27" s="253"/>
      <c r="U27" s="91" t="s">
        <v>158</v>
      </c>
      <c r="V27" s="92"/>
      <c r="W27" s="93"/>
      <c r="X27" s="144" t="s">
        <v>34</v>
      </c>
      <c r="Y27" s="84">
        <v>13</v>
      </c>
      <c r="Z27" s="85">
        <v>3850000</v>
      </c>
      <c r="AA27" s="86"/>
      <c r="AB27" s="159">
        <v>1</v>
      </c>
      <c r="AC27" s="88">
        <f t="shared" si="0"/>
        <v>50050000</v>
      </c>
      <c r="AD27" s="306"/>
      <c r="AE27" s="306"/>
      <c r="AF27" s="86"/>
      <c r="AL27" s="132"/>
      <c r="AM27" s="135"/>
      <c r="AN27" s="135"/>
      <c r="AS27" s="135"/>
      <c r="AT27" s="135"/>
    </row>
    <row r="28" spans="1:46" s="90" customFormat="1" ht="22.5" customHeight="1">
      <c r="A28" s="258"/>
      <c r="B28" s="261"/>
      <c r="C28" s="264"/>
      <c r="D28" s="264"/>
      <c r="E28" s="264"/>
      <c r="F28" s="264"/>
      <c r="G28" s="308"/>
      <c r="H28" s="160"/>
      <c r="I28" s="311"/>
      <c r="J28" s="311"/>
      <c r="K28" s="311"/>
      <c r="L28" s="101"/>
      <c r="M28" s="248"/>
      <c r="N28" s="251"/>
      <c r="O28" s="254"/>
      <c r="P28" s="254"/>
      <c r="Q28" s="254"/>
      <c r="R28" s="254"/>
      <c r="S28" s="254"/>
      <c r="T28" s="254"/>
      <c r="U28" s="91" t="s">
        <v>164</v>
      </c>
      <c r="V28" s="144"/>
      <c r="W28" s="160"/>
      <c r="X28" s="144" t="s">
        <v>34</v>
      </c>
      <c r="Y28" s="84">
        <v>2</v>
      </c>
      <c r="Z28" s="85">
        <v>3850000</v>
      </c>
      <c r="AA28" s="86"/>
      <c r="AB28" s="87">
        <v>0.5</v>
      </c>
      <c r="AC28" s="88">
        <f t="shared" si="0"/>
        <v>3850000</v>
      </c>
      <c r="AD28" s="307"/>
      <c r="AE28" s="307"/>
      <c r="AF28" s="86"/>
      <c r="AL28" s="132" t="s">
        <v>171</v>
      </c>
      <c r="AM28" s="135"/>
      <c r="AN28" s="135"/>
      <c r="AS28" s="135"/>
      <c r="AT28" s="135"/>
    </row>
    <row r="29" spans="1:46" s="90" customFormat="1" ht="22.5" customHeight="1">
      <c r="A29" s="256">
        <v>3</v>
      </c>
      <c r="B29" s="259" t="s">
        <v>191</v>
      </c>
      <c r="C29" s="262">
        <v>64</v>
      </c>
      <c r="D29" s="262">
        <v>35</v>
      </c>
      <c r="E29" s="262">
        <v>1344.8</v>
      </c>
      <c r="F29" s="262" t="s">
        <v>2</v>
      </c>
      <c r="G29" s="301">
        <v>1385</v>
      </c>
      <c r="H29" s="301"/>
      <c r="I29" s="309">
        <f>E29-G29</f>
        <v>-40.200000000000045</v>
      </c>
      <c r="J29" s="309">
        <f>G29+G47</f>
        <v>1385</v>
      </c>
      <c r="K29" s="309">
        <f>J29+J50</f>
        <v>1385</v>
      </c>
      <c r="L29" s="243"/>
      <c r="M29" s="246">
        <f>J29/K29</f>
        <v>1</v>
      </c>
      <c r="N29" s="249">
        <f>IF(M29&lt;0.1,2,IF(M29&lt;0.2,3,IF(M29&lt;0.3,5,IF(M29&gt;=0.7,12,IF(M29&gt;=0.3,6)))))</f>
        <v>12</v>
      </c>
      <c r="O29" s="252">
        <v>7</v>
      </c>
      <c r="P29" s="252">
        <v>80000</v>
      </c>
      <c r="Q29" s="252">
        <f>(J29+J50)*P29</f>
        <v>110800000</v>
      </c>
      <c r="R29" s="252">
        <f>Q29*3</f>
        <v>332400000</v>
      </c>
      <c r="S29" s="252">
        <f>N29*O29*S7</f>
        <v>42840000</v>
      </c>
      <c r="T29" s="252">
        <f>SUM(Q29:S50)</f>
        <v>486040000</v>
      </c>
      <c r="U29" s="82" t="s">
        <v>162</v>
      </c>
      <c r="V29" s="144">
        <v>25</v>
      </c>
      <c r="W29" s="160">
        <f>(G29-W45-W46-W48-W49-W50)/V29</f>
        <v>54.68</v>
      </c>
      <c r="X29" s="144" t="s">
        <v>34</v>
      </c>
      <c r="Y29" s="84">
        <v>15</v>
      </c>
      <c r="Z29" s="143"/>
      <c r="AA29" s="144"/>
      <c r="AB29" s="87"/>
      <c r="AC29" s="88">
        <f t="shared" si="0"/>
        <v>0</v>
      </c>
      <c r="AD29" s="240">
        <f>AC29+AC30+AC31+AC32+AC33+AC34+AC35+AC36+AC37+AC38+AC39+AC40+AC41+AC42+AC43+AC44+AC45+AC46+AC47+AC48+AC49+AC50</f>
        <v>212700000</v>
      </c>
      <c r="AE29" s="240">
        <f>T29+AD29+AD50</f>
        <v>698740000</v>
      </c>
      <c r="AF29" s="99" t="s">
        <v>182</v>
      </c>
      <c r="AL29" s="132" t="s">
        <v>171</v>
      </c>
      <c r="AM29" s="135">
        <v>33156003770</v>
      </c>
      <c r="AN29" s="135"/>
      <c r="AS29" s="135"/>
      <c r="AT29" s="135"/>
    </row>
    <row r="30" spans="1:46" s="90" customFormat="1" ht="22.5" customHeight="1">
      <c r="A30" s="257"/>
      <c r="B30" s="260"/>
      <c r="C30" s="263"/>
      <c r="D30" s="263"/>
      <c r="E30" s="263"/>
      <c r="F30" s="263"/>
      <c r="G30" s="302"/>
      <c r="H30" s="302"/>
      <c r="I30" s="310"/>
      <c r="J30" s="310"/>
      <c r="K30" s="310"/>
      <c r="L30" s="244"/>
      <c r="M30" s="247"/>
      <c r="N30" s="250"/>
      <c r="O30" s="253"/>
      <c r="P30" s="253"/>
      <c r="Q30" s="253"/>
      <c r="R30" s="253"/>
      <c r="S30" s="253"/>
      <c r="T30" s="253"/>
      <c r="U30" s="91" t="s">
        <v>158</v>
      </c>
      <c r="V30" s="144"/>
      <c r="W30" s="160"/>
      <c r="X30" s="144" t="s">
        <v>34</v>
      </c>
      <c r="Y30" s="84">
        <v>15</v>
      </c>
      <c r="Z30" s="143">
        <v>4500000</v>
      </c>
      <c r="AA30" s="144"/>
      <c r="AB30" s="87">
        <v>1</v>
      </c>
      <c r="AC30" s="88">
        <f t="shared" si="0"/>
        <v>67500000</v>
      </c>
      <c r="AD30" s="241"/>
      <c r="AE30" s="241"/>
      <c r="AF30" s="86"/>
      <c r="AL30" s="132" t="s">
        <v>171</v>
      </c>
      <c r="AM30" s="135"/>
      <c r="AN30" s="135"/>
      <c r="AS30" s="135"/>
      <c r="AT30" s="135"/>
    </row>
    <row r="31" spans="1:46" s="90" customFormat="1" ht="22.5" customHeight="1">
      <c r="A31" s="257"/>
      <c r="B31" s="260"/>
      <c r="C31" s="263"/>
      <c r="D31" s="263"/>
      <c r="E31" s="263"/>
      <c r="F31" s="263"/>
      <c r="G31" s="302"/>
      <c r="H31" s="302"/>
      <c r="I31" s="310"/>
      <c r="J31" s="310"/>
      <c r="K31" s="310"/>
      <c r="L31" s="244"/>
      <c r="M31" s="247"/>
      <c r="N31" s="250"/>
      <c r="O31" s="253"/>
      <c r="P31" s="253"/>
      <c r="Q31" s="253"/>
      <c r="R31" s="253"/>
      <c r="S31" s="253"/>
      <c r="T31" s="253"/>
      <c r="U31" s="82" t="s">
        <v>167</v>
      </c>
      <c r="V31" s="144"/>
      <c r="W31" s="160"/>
      <c r="X31" s="144" t="s">
        <v>34</v>
      </c>
      <c r="Y31" s="84">
        <v>10</v>
      </c>
      <c r="Z31" s="143"/>
      <c r="AA31" s="86"/>
      <c r="AB31" s="87"/>
      <c r="AC31" s="88">
        <f t="shared" si="0"/>
        <v>0</v>
      </c>
      <c r="AD31" s="241"/>
      <c r="AE31" s="241"/>
      <c r="AF31" s="86"/>
      <c r="AL31" s="132"/>
      <c r="AM31" s="135"/>
      <c r="AN31" s="135"/>
      <c r="AS31" s="135"/>
      <c r="AT31" s="135"/>
    </row>
    <row r="32" spans="1:46" s="90" customFormat="1" ht="22.5" customHeight="1">
      <c r="A32" s="257"/>
      <c r="B32" s="260"/>
      <c r="C32" s="263"/>
      <c r="D32" s="263"/>
      <c r="E32" s="263"/>
      <c r="F32" s="263"/>
      <c r="G32" s="302"/>
      <c r="H32" s="302"/>
      <c r="I32" s="310"/>
      <c r="J32" s="310"/>
      <c r="K32" s="310"/>
      <c r="L32" s="244"/>
      <c r="M32" s="247"/>
      <c r="N32" s="250"/>
      <c r="O32" s="253"/>
      <c r="P32" s="253"/>
      <c r="Q32" s="253"/>
      <c r="R32" s="253"/>
      <c r="S32" s="253"/>
      <c r="T32" s="253"/>
      <c r="U32" s="91" t="s">
        <v>158</v>
      </c>
      <c r="V32" s="144"/>
      <c r="W32" s="160"/>
      <c r="X32" s="144" t="s">
        <v>34</v>
      </c>
      <c r="Y32" s="84">
        <v>10</v>
      </c>
      <c r="Z32" s="85">
        <v>3850000</v>
      </c>
      <c r="AA32" s="86"/>
      <c r="AB32" s="87">
        <v>1</v>
      </c>
      <c r="AC32" s="88">
        <f t="shared" si="0"/>
        <v>38500000</v>
      </c>
      <c r="AD32" s="241"/>
      <c r="AE32" s="241"/>
      <c r="AF32" s="86"/>
      <c r="AL32" s="132"/>
      <c r="AM32" s="135"/>
      <c r="AN32" s="135"/>
      <c r="AS32" s="135"/>
      <c r="AT32" s="135"/>
    </row>
    <row r="33" spans="1:46" s="90" customFormat="1" ht="22.5" customHeight="1">
      <c r="A33" s="257"/>
      <c r="B33" s="260"/>
      <c r="C33" s="263"/>
      <c r="D33" s="263"/>
      <c r="E33" s="263"/>
      <c r="F33" s="263"/>
      <c r="G33" s="302"/>
      <c r="H33" s="302"/>
      <c r="I33" s="310"/>
      <c r="J33" s="310"/>
      <c r="K33" s="310"/>
      <c r="L33" s="244"/>
      <c r="M33" s="247"/>
      <c r="N33" s="250"/>
      <c r="O33" s="253"/>
      <c r="P33" s="253"/>
      <c r="Q33" s="253"/>
      <c r="R33" s="253"/>
      <c r="S33" s="253"/>
      <c r="T33" s="253"/>
      <c r="U33" s="100" t="s">
        <v>192</v>
      </c>
      <c r="V33" s="144"/>
      <c r="W33" s="160"/>
      <c r="X33" s="144" t="s">
        <v>34</v>
      </c>
      <c r="Y33" s="84">
        <v>5</v>
      </c>
      <c r="Z33" s="143"/>
      <c r="AA33" s="86"/>
      <c r="AB33" s="87"/>
      <c r="AC33" s="88">
        <f t="shared" si="0"/>
        <v>0</v>
      </c>
      <c r="AD33" s="241"/>
      <c r="AE33" s="241"/>
      <c r="AF33" s="86"/>
      <c r="AL33" s="132"/>
      <c r="AM33" s="135"/>
      <c r="AN33" s="135"/>
      <c r="AS33" s="135"/>
      <c r="AT33" s="135"/>
    </row>
    <row r="34" spans="1:46" s="90" customFormat="1" ht="22.5" customHeight="1">
      <c r="A34" s="257"/>
      <c r="B34" s="260"/>
      <c r="C34" s="263"/>
      <c r="D34" s="263"/>
      <c r="E34" s="263"/>
      <c r="F34" s="263"/>
      <c r="G34" s="302"/>
      <c r="H34" s="302"/>
      <c r="I34" s="310"/>
      <c r="J34" s="310"/>
      <c r="K34" s="310"/>
      <c r="L34" s="244"/>
      <c r="M34" s="247"/>
      <c r="N34" s="250"/>
      <c r="O34" s="253"/>
      <c r="P34" s="253"/>
      <c r="Q34" s="253"/>
      <c r="R34" s="253"/>
      <c r="S34" s="253"/>
      <c r="T34" s="253"/>
      <c r="U34" s="91" t="s">
        <v>158</v>
      </c>
      <c r="V34" s="144"/>
      <c r="W34" s="160"/>
      <c r="X34" s="144" t="s">
        <v>34</v>
      </c>
      <c r="Y34" s="84">
        <v>5</v>
      </c>
      <c r="Z34" s="85">
        <v>3750000</v>
      </c>
      <c r="AA34" s="86"/>
      <c r="AB34" s="87">
        <v>1</v>
      </c>
      <c r="AC34" s="88">
        <f t="shared" si="0"/>
        <v>18750000</v>
      </c>
      <c r="AD34" s="241"/>
      <c r="AE34" s="241"/>
      <c r="AF34" s="86"/>
      <c r="AL34" s="132"/>
      <c r="AM34" s="135"/>
      <c r="AN34" s="135"/>
      <c r="AS34" s="135"/>
      <c r="AT34" s="135"/>
    </row>
    <row r="35" spans="1:46" s="90" customFormat="1" ht="36.75" customHeight="1">
      <c r="A35" s="257"/>
      <c r="B35" s="260"/>
      <c r="C35" s="263"/>
      <c r="D35" s="263"/>
      <c r="E35" s="263"/>
      <c r="F35" s="263"/>
      <c r="G35" s="302"/>
      <c r="H35" s="302"/>
      <c r="I35" s="310"/>
      <c r="J35" s="310"/>
      <c r="K35" s="310"/>
      <c r="L35" s="244"/>
      <c r="M35" s="247"/>
      <c r="N35" s="250"/>
      <c r="O35" s="253"/>
      <c r="P35" s="253"/>
      <c r="Q35" s="253"/>
      <c r="R35" s="253"/>
      <c r="S35" s="253"/>
      <c r="T35" s="253"/>
      <c r="U35" s="100" t="s">
        <v>193</v>
      </c>
      <c r="V35" s="92">
        <v>20</v>
      </c>
      <c r="W35" s="93">
        <f>(G29-W45-W46-W48-W49-W50)/V35</f>
        <v>68.349999999999994</v>
      </c>
      <c r="X35" s="144" t="s">
        <v>34</v>
      </c>
      <c r="Y35" s="84">
        <v>50</v>
      </c>
      <c r="Z35" s="143"/>
      <c r="AA35" s="86"/>
      <c r="AB35" s="87"/>
      <c r="AC35" s="88">
        <f t="shared" si="0"/>
        <v>0</v>
      </c>
      <c r="AD35" s="241"/>
      <c r="AE35" s="241"/>
      <c r="AF35" s="86"/>
      <c r="AL35" s="132"/>
      <c r="AM35" s="135"/>
      <c r="AN35" s="135"/>
      <c r="AS35" s="135"/>
      <c r="AT35" s="135"/>
    </row>
    <row r="36" spans="1:46" s="90" customFormat="1" ht="22.5" customHeight="1">
      <c r="A36" s="257"/>
      <c r="B36" s="260"/>
      <c r="C36" s="263"/>
      <c r="D36" s="263"/>
      <c r="E36" s="263"/>
      <c r="F36" s="263"/>
      <c r="G36" s="302"/>
      <c r="H36" s="302"/>
      <c r="I36" s="310"/>
      <c r="J36" s="310"/>
      <c r="K36" s="310"/>
      <c r="L36" s="244"/>
      <c r="M36" s="247"/>
      <c r="N36" s="250"/>
      <c r="O36" s="253"/>
      <c r="P36" s="253"/>
      <c r="Q36" s="253"/>
      <c r="R36" s="253"/>
      <c r="S36" s="253"/>
      <c r="T36" s="253"/>
      <c r="U36" s="91" t="s">
        <v>158</v>
      </c>
      <c r="V36" s="144"/>
      <c r="W36" s="160"/>
      <c r="X36" s="144" t="s">
        <v>34</v>
      </c>
      <c r="Y36" s="84">
        <v>50</v>
      </c>
      <c r="Z36" s="143">
        <v>2500000</v>
      </c>
      <c r="AA36" s="86"/>
      <c r="AB36" s="87">
        <v>0.5</v>
      </c>
      <c r="AC36" s="88">
        <f t="shared" si="0"/>
        <v>62500000</v>
      </c>
      <c r="AD36" s="241"/>
      <c r="AE36" s="241"/>
      <c r="AF36" s="86"/>
      <c r="AL36" s="132"/>
      <c r="AM36" s="135"/>
      <c r="AN36" s="135"/>
      <c r="AS36" s="135"/>
      <c r="AT36" s="135"/>
    </row>
    <row r="37" spans="1:46" s="90" customFormat="1" ht="31.5">
      <c r="A37" s="257"/>
      <c r="B37" s="260"/>
      <c r="C37" s="263"/>
      <c r="D37" s="263"/>
      <c r="E37" s="263"/>
      <c r="F37" s="263"/>
      <c r="G37" s="302"/>
      <c r="H37" s="302"/>
      <c r="I37" s="310"/>
      <c r="J37" s="310"/>
      <c r="K37" s="310"/>
      <c r="L37" s="244"/>
      <c r="M37" s="247"/>
      <c r="N37" s="250"/>
      <c r="O37" s="253"/>
      <c r="P37" s="253"/>
      <c r="Q37" s="253"/>
      <c r="R37" s="253"/>
      <c r="S37" s="253"/>
      <c r="T37" s="253"/>
      <c r="U37" s="82" t="s">
        <v>194</v>
      </c>
      <c r="V37" s="144"/>
      <c r="W37" s="160"/>
      <c r="X37" s="144" t="s">
        <v>34</v>
      </c>
      <c r="Y37" s="84">
        <v>30</v>
      </c>
      <c r="Z37" s="85"/>
      <c r="AA37" s="86"/>
      <c r="AB37" s="87"/>
      <c r="AC37" s="88">
        <f t="shared" si="0"/>
        <v>0</v>
      </c>
      <c r="AD37" s="241"/>
      <c r="AE37" s="241"/>
      <c r="AF37" s="86"/>
      <c r="AL37" s="132"/>
      <c r="AM37" s="135"/>
      <c r="AN37" s="135"/>
      <c r="AS37" s="135"/>
      <c r="AT37" s="135"/>
    </row>
    <row r="38" spans="1:46" s="90" customFormat="1" ht="20.25" customHeight="1">
      <c r="A38" s="257"/>
      <c r="B38" s="260"/>
      <c r="C38" s="263"/>
      <c r="D38" s="263"/>
      <c r="E38" s="263"/>
      <c r="F38" s="263"/>
      <c r="G38" s="302"/>
      <c r="H38" s="302"/>
      <c r="I38" s="310"/>
      <c r="J38" s="310"/>
      <c r="K38" s="310"/>
      <c r="L38" s="244"/>
      <c r="M38" s="247"/>
      <c r="N38" s="250"/>
      <c r="O38" s="253"/>
      <c r="P38" s="253"/>
      <c r="Q38" s="253"/>
      <c r="R38" s="253"/>
      <c r="S38" s="253"/>
      <c r="T38" s="253"/>
      <c r="U38" s="91" t="s">
        <v>158</v>
      </c>
      <c r="V38" s="92"/>
      <c r="W38" s="93"/>
      <c r="X38" s="144" t="s">
        <v>34</v>
      </c>
      <c r="Y38" s="84">
        <v>18</v>
      </c>
      <c r="Z38" s="143">
        <v>1800000</v>
      </c>
      <c r="AA38" s="144"/>
      <c r="AB38" s="87">
        <v>0.5</v>
      </c>
      <c r="AC38" s="88">
        <f t="shared" si="0"/>
        <v>16200000</v>
      </c>
      <c r="AD38" s="241"/>
      <c r="AE38" s="241"/>
      <c r="AF38" s="86"/>
      <c r="AL38" s="132"/>
      <c r="AM38" s="135"/>
      <c r="AN38" s="135"/>
      <c r="AS38" s="135"/>
      <c r="AT38" s="135"/>
    </row>
    <row r="39" spans="1:46" s="90" customFormat="1" ht="20.25" customHeight="1">
      <c r="A39" s="257"/>
      <c r="B39" s="260"/>
      <c r="C39" s="263"/>
      <c r="D39" s="263"/>
      <c r="E39" s="263"/>
      <c r="F39" s="263"/>
      <c r="G39" s="302"/>
      <c r="H39" s="302"/>
      <c r="I39" s="310"/>
      <c r="J39" s="310"/>
      <c r="K39" s="310"/>
      <c r="L39" s="244"/>
      <c r="M39" s="247"/>
      <c r="N39" s="250"/>
      <c r="O39" s="253"/>
      <c r="P39" s="253"/>
      <c r="Q39" s="253"/>
      <c r="R39" s="253"/>
      <c r="S39" s="253"/>
      <c r="T39" s="253"/>
      <c r="U39" s="91" t="s">
        <v>246</v>
      </c>
      <c r="V39" s="84"/>
      <c r="W39" s="84"/>
      <c r="X39" s="144" t="s">
        <v>34</v>
      </c>
      <c r="Y39" s="84">
        <v>12</v>
      </c>
      <c r="Z39" s="143">
        <v>1800000</v>
      </c>
      <c r="AA39" s="144"/>
      <c r="AB39" s="87">
        <v>0</v>
      </c>
      <c r="AC39" s="88">
        <f t="shared" si="0"/>
        <v>0</v>
      </c>
      <c r="AD39" s="241"/>
      <c r="AE39" s="241"/>
      <c r="AF39" s="86"/>
      <c r="AL39" s="132"/>
      <c r="AM39" s="135"/>
      <c r="AN39" s="135"/>
      <c r="AS39" s="135"/>
      <c r="AT39" s="135"/>
    </row>
    <row r="40" spans="1:46" s="90" customFormat="1" ht="31.5" customHeight="1">
      <c r="A40" s="257"/>
      <c r="B40" s="260"/>
      <c r="C40" s="263"/>
      <c r="D40" s="263"/>
      <c r="E40" s="263"/>
      <c r="F40" s="263"/>
      <c r="G40" s="302"/>
      <c r="H40" s="302"/>
      <c r="I40" s="310"/>
      <c r="J40" s="310"/>
      <c r="K40" s="310"/>
      <c r="L40" s="244"/>
      <c r="M40" s="247"/>
      <c r="N40" s="250"/>
      <c r="O40" s="253"/>
      <c r="P40" s="253"/>
      <c r="Q40" s="253"/>
      <c r="R40" s="253"/>
      <c r="S40" s="253"/>
      <c r="T40" s="253"/>
      <c r="U40" s="100" t="s">
        <v>195</v>
      </c>
      <c r="V40" s="92">
        <v>25</v>
      </c>
      <c r="W40" s="93">
        <f>(G29-W45-W46-W48-W49-W50)/V40</f>
        <v>54.68</v>
      </c>
      <c r="X40" s="144" t="s">
        <v>34</v>
      </c>
      <c r="Y40" s="84">
        <v>10</v>
      </c>
      <c r="Z40" s="143"/>
      <c r="AA40" s="144"/>
      <c r="AB40" s="87"/>
      <c r="AC40" s="88">
        <f t="shared" si="0"/>
        <v>0</v>
      </c>
      <c r="AD40" s="241"/>
      <c r="AE40" s="241"/>
      <c r="AF40" s="86"/>
      <c r="AL40" s="132"/>
      <c r="AM40" s="135"/>
      <c r="AN40" s="135"/>
      <c r="AS40" s="135"/>
      <c r="AT40" s="135"/>
    </row>
    <row r="41" spans="1:46" s="90" customFormat="1" ht="20.25" customHeight="1">
      <c r="A41" s="257"/>
      <c r="B41" s="260"/>
      <c r="C41" s="263"/>
      <c r="D41" s="263"/>
      <c r="E41" s="263"/>
      <c r="F41" s="263"/>
      <c r="G41" s="302"/>
      <c r="H41" s="302"/>
      <c r="I41" s="310"/>
      <c r="J41" s="310"/>
      <c r="K41" s="310"/>
      <c r="L41" s="244"/>
      <c r="M41" s="247"/>
      <c r="N41" s="250"/>
      <c r="O41" s="253"/>
      <c r="P41" s="253"/>
      <c r="Q41" s="253"/>
      <c r="R41" s="253"/>
      <c r="S41" s="253"/>
      <c r="T41" s="253"/>
      <c r="U41" s="91" t="s">
        <v>158</v>
      </c>
      <c r="V41" s="144"/>
      <c r="W41" s="160"/>
      <c r="X41" s="144" t="s">
        <v>34</v>
      </c>
      <c r="Y41" s="84">
        <v>10</v>
      </c>
      <c r="Z41" s="143">
        <v>1500000</v>
      </c>
      <c r="AA41" s="86"/>
      <c r="AB41" s="87">
        <v>0.5</v>
      </c>
      <c r="AC41" s="88">
        <f t="shared" si="0"/>
        <v>7500000</v>
      </c>
      <c r="AD41" s="241"/>
      <c r="AE41" s="241"/>
      <c r="AF41" s="86"/>
      <c r="AL41" s="132"/>
      <c r="AM41" s="135"/>
      <c r="AN41" s="135"/>
      <c r="AS41" s="135"/>
      <c r="AT41" s="135"/>
    </row>
    <row r="42" spans="1:46" s="90" customFormat="1" ht="31.5">
      <c r="A42" s="257"/>
      <c r="B42" s="260"/>
      <c r="C42" s="263"/>
      <c r="D42" s="263"/>
      <c r="E42" s="263"/>
      <c r="F42" s="263"/>
      <c r="G42" s="302"/>
      <c r="H42" s="302"/>
      <c r="I42" s="310"/>
      <c r="J42" s="310"/>
      <c r="K42" s="310"/>
      <c r="L42" s="244"/>
      <c r="M42" s="247"/>
      <c r="N42" s="250"/>
      <c r="O42" s="253"/>
      <c r="P42" s="253"/>
      <c r="Q42" s="253"/>
      <c r="R42" s="253"/>
      <c r="S42" s="253"/>
      <c r="T42" s="253"/>
      <c r="U42" s="100" t="s">
        <v>196</v>
      </c>
      <c r="V42" s="144">
        <f>10000/400</f>
        <v>25</v>
      </c>
      <c r="W42" s="160">
        <f>J29/V42</f>
        <v>55.4</v>
      </c>
      <c r="X42" s="144" t="s">
        <v>34</v>
      </c>
      <c r="Y42" s="84">
        <v>7</v>
      </c>
      <c r="Z42" s="143"/>
      <c r="AA42" s="86"/>
      <c r="AB42" s="87"/>
      <c r="AC42" s="88">
        <f t="shared" si="0"/>
        <v>0</v>
      </c>
      <c r="AD42" s="241"/>
      <c r="AE42" s="241"/>
      <c r="AF42" s="86"/>
      <c r="AL42" s="132"/>
      <c r="AM42" s="135"/>
      <c r="AN42" s="135"/>
      <c r="AS42" s="135"/>
      <c r="AT42" s="135"/>
    </row>
    <row r="43" spans="1:46" s="90" customFormat="1" ht="22.5" customHeight="1">
      <c r="A43" s="257"/>
      <c r="B43" s="260"/>
      <c r="C43" s="263"/>
      <c r="D43" s="263"/>
      <c r="E43" s="263"/>
      <c r="F43" s="263"/>
      <c r="G43" s="302"/>
      <c r="H43" s="302"/>
      <c r="I43" s="310"/>
      <c r="J43" s="310"/>
      <c r="K43" s="310"/>
      <c r="L43" s="244"/>
      <c r="M43" s="247"/>
      <c r="N43" s="250"/>
      <c r="O43" s="253"/>
      <c r="P43" s="253"/>
      <c r="Q43" s="253"/>
      <c r="R43" s="253"/>
      <c r="S43" s="253"/>
      <c r="T43" s="253"/>
      <c r="U43" s="91" t="s">
        <v>158</v>
      </c>
      <c r="V43" s="144"/>
      <c r="W43" s="160"/>
      <c r="X43" s="144" t="s">
        <v>34</v>
      </c>
      <c r="Y43" s="84">
        <v>7</v>
      </c>
      <c r="Z43" s="143">
        <v>500000</v>
      </c>
      <c r="AA43" s="86"/>
      <c r="AB43" s="87">
        <v>0.5</v>
      </c>
      <c r="AC43" s="88">
        <f t="shared" si="0"/>
        <v>1750000</v>
      </c>
      <c r="AD43" s="241"/>
      <c r="AE43" s="241"/>
      <c r="AF43" s="86"/>
      <c r="AL43" s="132"/>
      <c r="AM43" s="135"/>
      <c r="AN43" s="135"/>
      <c r="AS43" s="135"/>
      <c r="AT43" s="135"/>
    </row>
    <row r="44" spans="1:46" s="90" customFormat="1" ht="22.5" customHeight="1">
      <c r="A44" s="257"/>
      <c r="B44" s="260"/>
      <c r="C44" s="263"/>
      <c r="D44" s="263"/>
      <c r="E44" s="263"/>
      <c r="F44" s="263"/>
      <c r="G44" s="302"/>
      <c r="H44" s="302"/>
      <c r="I44" s="310"/>
      <c r="J44" s="310"/>
      <c r="K44" s="310"/>
      <c r="L44" s="244"/>
      <c r="M44" s="247"/>
      <c r="N44" s="250"/>
      <c r="O44" s="253"/>
      <c r="P44" s="253"/>
      <c r="Q44" s="253"/>
      <c r="R44" s="253"/>
      <c r="S44" s="253"/>
      <c r="T44" s="253"/>
      <c r="U44" s="82" t="s">
        <v>228</v>
      </c>
      <c r="V44" s="84"/>
      <c r="W44" s="84"/>
      <c r="X44" s="144" t="s">
        <v>36</v>
      </c>
      <c r="Y44" s="84">
        <v>1</v>
      </c>
      <c r="Z44" s="143"/>
      <c r="AA44" s="86"/>
      <c r="AB44" s="87">
        <v>0</v>
      </c>
      <c r="AC44" s="88">
        <f t="shared" si="0"/>
        <v>0</v>
      </c>
      <c r="AD44" s="241"/>
      <c r="AE44" s="241"/>
      <c r="AF44" s="86"/>
      <c r="AL44" s="132"/>
      <c r="AM44" s="135"/>
      <c r="AN44" s="135"/>
      <c r="AS44" s="135"/>
      <c r="AT44" s="135"/>
    </row>
    <row r="45" spans="1:46" s="90" customFormat="1" ht="36.75" customHeight="1">
      <c r="A45" s="257"/>
      <c r="B45" s="260"/>
      <c r="C45" s="263"/>
      <c r="D45" s="263"/>
      <c r="E45" s="263"/>
      <c r="F45" s="263"/>
      <c r="G45" s="302"/>
      <c r="H45" s="302"/>
      <c r="I45" s="310"/>
      <c r="J45" s="310"/>
      <c r="K45" s="310"/>
      <c r="L45" s="244"/>
      <c r="M45" s="247"/>
      <c r="N45" s="250"/>
      <c r="O45" s="253"/>
      <c r="P45" s="253"/>
      <c r="Q45" s="253"/>
      <c r="R45" s="253"/>
      <c r="S45" s="253"/>
      <c r="T45" s="253"/>
      <c r="U45" s="94" t="s">
        <v>229</v>
      </c>
      <c r="V45" s="84"/>
      <c r="W45" s="84">
        <v>6</v>
      </c>
      <c r="X45" s="83" t="s">
        <v>38</v>
      </c>
      <c r="Y45" s="95">
        <v>6</v>
      </c>
      <c r="Z45" s="143"/>
      <c r="AA45" s="86"/>
      <c r="AB45" s="87">
        <v>0</v>
      </c>
      <c r="AC45" s="88">
        <f t="shared" si="0"/>
        <v>0</v>
      </c>
      <c r="AD45" s="241"/>
      <c r="AE45" s="241"/>
      <c r="AF45" s="86"/>
      <c r="AL45" s="132"/>
      <c r="AM45" s="135"/>
      <c r="AN45" s="135"/>
      <c r="AS45" s="135"/>
      <c r="AT45" s="135"/>
    </row>
    <row r="46" spans="1:46" s="90" customFormat="1" ht="54" customHeight="1">
      <c r="A46" s="257"/>
      <c r="B46" s="260"/>
      <c r="C46" s="263"/>
      <c r="D46" s="263"/>
      <c r="E46" s="263"/>
      <c r="F46" s="263"/>
      <c r="G46" s="302"/>
      <c r="H46" s="302"/>
      <c r="I46" s="310"/>
      <c r="J46" s="310"/>
      <c r="K46" s="310"/>
      <c r="L46" s="244"/>
      <c r="M46" s="247"/>
      <c r="N46" s="250"/>
      <c r="O46" s="253"/>
      <c r="P46" s="253"/>
      <c r="Q46" s="253"/>
      <c r="R46" s="253"/>
      <c r="S46" s="253"/>
      <c r="T46" s="253"/>
      <c r="U46" s="99" t="s">
        <v>230</v>
      </c>
      <c r="V46" s="84"/>
      <c r="W46" s="84"/>
      <c r="X46" s="83" t="s">
        <v>38</v>
      </c>
      <c r="Y46" s="95">
        <v>200</v>
      </c>
      <c r="Z46" s="143"/>
      <c r="AA46" s="86"/>
      <c r="AB46" s="87">
        <v>0</v>
      </c>
      <c r="AC46" s="88">
        <f t="shared" si="0"/>
        <v>0</v>
      </c>
      <c r="AD46" s="241"/>
      <c r="AE46" s="241"/>
      <c r="AF46" s="86"/>
      <c r="AL46" s="132" t="s">
        <v>171</v>
      </c>
      <c r="AM46" s="135"/>
      <c r="AN46" s="135"/>
      <c r="AS46" s="135"/>
      <c r="AT46" s="135"/>
    </row>
    <row r="47" spans="1:46" s="90" customFormat="1" ht="21.75" customHeight="1">
      <c r="A47" s="257"/>
      <c r="B47" s="260"/>
      <c r="C47" s="263"/>
      <c r="D47" s="263"/>
      <c r="E47" s="263"/>
      <c r="F47" s="263"/>
      <c r="G47" s="302"/>
      <c r="H47" s="151"/>
      <c r="I47" s="310"/>
      <c r="J47" s="310"/>
      <c r="K47" s="310"/>
      <c r="L47" s="139"/>
      <c r="M47" s="247"/>
      <c r="N47" s="250"/>
      <c r="O47" s="253"/>
      <c r="P47" s="253"/>
      <c r="Q47" s="253"/>
      <c r="R47" s="253"/>
      <c r="S47" s="253"/>
      <c r="T47" s="253"/>
      <c r="U47" s="99" t="s">
        <v>231</v>
      </c>
      <c r="V47" s="144"/>
      <c r="W47" s="160"/>
      <c r="X47" s="83" t="s">
        <v>38</v>
      </c>
      <c r="Y47" s="95">
        <v>5.98</v>
      </c>
      <c r="Z47" s="85"/>
      <c r="AA47" s="86"/>
      <c r="AB47" s="87">
        <v>0</v>
      </c>
      <c r="AC47" s="88">
        <f t="shared" si="0"/>
        <v>0</v>
      </c>
      <c r="AD47" s="241"/>
      <c r="AE47" s="241"/>
      <c r="AF47" s="99"/>
      <c r="AL47" s="132" t="s">
        <v>171</v>
      </c>
      <c r="AM47" s="135"/>
      <c r="AN47" s="135"/>
      <c r="AS47" s="135"/>
      <c r="AT47" s="135"/>
    </row>
    <row r="48" spans="1:46" s="90" customFormat="1" ht="58.5" customHeight="1">
      <c r="A48" s="257"/>
      <c r="B48" s="260"/>
      <c r="C48" s="263"/>
      <c r="D48" s="263"/>
      <c r="E48" s="263"/>
      <c r="F48" s="263"/>
      <c r="G48" s="302"/>
      <c r="H48" s="151"/>
      <c r="I48" s="310"/>
      <c r="J48" s="310"/>
      <c r="K48" s="310"/>
      <c r="L48" s="139"/>
      <c r="M48" s="247"/>
      <c r="N48" s="250"/>
      <c r="O48" s="253"/>
      <c r="P48" s="253"/>
      <c r="Q48" s="253"/>
      <c r="R48" s="253"/>
      <c r="S48" s="253"/>
      <c r="T48" s="253"/>
      <c r="U48" s="99" t="s">
        <v>232</v>
      </c>
      <c r="V48" s="92"/>
      <c r="W48" s="93"/>
      <c r="X48" s="83" t="s">
        <v>38</v>
      </c>
      <c r="Y48" s="95">
        <v>55</v>
      </c>
      <c r="Z48" s="143"/>
      <c r="AA48" s="144"/>
      <c r="AB48" s="87">
        <v>0</v>
      </c>
      <c r="AC48" s="88">
        <f t="shared" si="0"/>
        <v>0</v>
      </c>
      <c r="AD48" s="241"/>
      <c r="AE48" s="241"/>
      <c r="AF48" s="86"/>
      <c r="AL48" s="132"/>
      <c r="AM48" s="135"/>
      <c r="AN48" s="135"/>
      <c r="AS48" s="135"/>
      <c r="AT48" s="135"/>
    </row>
    <row r="49" spans="1:46" s="90" customFormat="1" ht="48.75" customHeight="1">
      <c r="A49" s="257"/>
      <c r="B49" s="260"/>
      <c r="C49" s="263"/>
      <c r="D49" s="263"/>
      <c r="E49" s="263"/>
      <c r="F49" s="263"/>
      <c r="G49" s="302"/>
      <c r="H49" s="151"/>
      <c r="I49" s="310"/>
      <c r="J49" s="310"/>
      <c r="K49" s="310"/>
      <c r="L49" s="139"/>
      <c r="M49" s="247"/>
      <c r="N49" s="250"/>
      <c r="O49" s="253"/>
      <c r="P49" s="253"/>
      <c r="Q49" s="253"/>
      <c r="R49" s="253"/>
      <c r="S49" s="253"/>
      <c r="T49" s="253"/>
      <c r="U49" s="99" t="s">
        <v>233</v>
      </c>
      <c r="V49" s="144"/>
      <c r="W49" s="160"/>
      <c r="X49" s="83" t="s">
        <v>38</v>
      </c>
      <c r="Y49" s="95">
        <v>70</v>
      </c>
      <c r="Z49" s="85"/>
      <c r="AA49" s="86"/>
      <c r="AB49" s="87">
        <v>0</v>
      </c>
      <c r="AC49" s="88">
        <f t="shared" si="0"/>
        <v>0</v>
      </c>
      <c r="AD49" s="241"/>
      <c r="AE49" s="241"/>
      <c r="AF49" s="86"/>
      <c r="AL49" s="132"/>
      <c r="AM49" s="135"/>
      <c r="AN49" s="135"/>
      <c r="AS49" s="135"/>
      <c r="AT49" s="135"/>
    </row>
    <row r="50" spans="1:46" s="90" customFormat="1" ht="58.5" customHeight="1">
      <c r="A50" s="258"/>
      <c r="B50" s="261"/>
      <c r="C50" s="264"/>
      <c r="D50" s="264"/>
      <c r="E50" s="264"/>
      <c r="F50" s="264"/>
      <c r="G50" s="308"/>
      <c r="H50" s="160"/>
      <c r="I50" s="311"/>
      <c r="J50" s="311"/>
      <c r="K50" s="311"/>
      <c r="L50" s="101"/>
      <c r="M50" s="248"/>
      <c r="N50" s="251"/>
      <c r="O50" s="254"/>
      <c r="P50" s="254"/>
      <c r="Q50" s="254"/>
      <c r="R50" s="254"/>
      <c r="S50" s="254"/>
      <c r="T50" s="254"/>
      <c r="U50" s="99" t="s">
        <v>234</v>
      </c>
      <c r="V50" s="92"/>
      <c r="W50" s="93">
        <v>12</v>
      </c>
      <c r="X50" s="83" t="s">
        <v>239</v>
      </c>
      <c r="Y50" s="95">
        <v>12</v>
      </c>
      <c r="Z50" s="143"/>
      <c r="AA50" s="144"/>
      <c r="AB50" s="87">
        <v>0</v>
      </c>
      <c r="AC50" s="88">
        <f t="shared" si="0"/>
        <v>0</v>
      </c>
      <c r="AD50" s="242"/>
      <c r="AE50" s="242"/>
      <c r="AF50" s="86"/>
      <c r="AL50" s="132" t="s">
        <v>171</v>
      </c>
      <c r="AM50" s="135"/>
      <c r="AN50" s="135"/>
      <c r="AS50" s="135"/>
      <c r="AT50" s="135"/>
    </row>
    <row r="51" spans="1:46" s="90" customFormat="1" ht="39.75" customHeight="1">
      <c r="A51" s="256">
        <v>4</v>
      </c>
      <c r="B51" s="259" t="s">
        <v>225</v>
      </c>
      <c r="C51" s="262">
        <v>64</v>
      </c>
      <c r="D51" s="262">
        <v>50</v>
      </c>
      <c r="E51" s="262">
        <v>233.2</v>
      </c>
      <c r="F51" s="262" t="s">
        <v>2</v>
      </c>
      <c r="G51" s="301">
        <v>234</v>
      </c>
      <c r="H51" s="160"/>
      <c r="I51" s="309">
        <f>E51-G51</f>
        <v>-0.80000000000001137</v>
      </c>
      <c r="J51" s="309">
        <f>G51</f>
        <v>234</v>
      </c>
      <c r="K51" s="309">
        <v>1825</v>
      </c>
      <c r="L51" s="86"/>
      <c r="M51" s="246">
        <f>J51/K51</f>
        <v>0.12821917808219177</v>
      </c>
      <c r="N51" s="249">
        <f>IF(M51&lt;0.1,2,IF(M51&lt;0.2,3,IF(M51&lt;0.3,5,IF(M51&gt;=0.7,12,IF(M51&gt;=0.3,6)))))</f>
        <v>3</v>
      </c>
      <c r="O51" s="252">
        <v>4</v>
      </c>
      <c r="P51" s="252">
        <v>80000</v>
      </c>
      <c r="Q51" s="252">
        <f>J51*P51</f>
        <v>18720000</v>
      </c>
      <c r="R51" s="252">
        <f>Q51*3</f>
        <v>56160000</v>
      </c>
      <c r="S51" s="252">
        <f>N51*O51*S7</f>
        <v>6120000</v>
      </c>
      <c r="T51" s="255">
        <f>SUM(Q51:S55)</f>
        <v>81000000</v>
      </c>
      <c r="U51" s="100" t="s">
        <v>247</v>
      </c>
      <c r="V51" s="92">
        <v>20</v>
      </c>
      <c r="W51" s="93">
        <f>J51/V51</f>
        <v>11.7</v>
      </c>
      <c r="X51" s="144" t="s">
        <v>34</v>
      </c>
      <c r="Y51" s="84">
        <v>8</v>
      </c>
      <c r="Z51" s="143"/>
      <c r="AA51" s="86"/>
      <c r="AB51" s="87"/>
      <c r="AC51" s="88">
        <f t="shared" si="0"/>
        <v>0</v>
      </c>
      <c r="AD51" s="240">
        <f>AC51+AC52+AC53+AC54+AC55</f>
        <v>30800000</v>
      </c>
      <c r="AE51" s="240">
        <f>T51+AD51</f>
        <v>111800000</v>
      </c>
      <c r="AF51" s="99" t="s">
        <v>183</v>
      </c>
      <c r="AL51" s="132" t="s">
        <v>171</v>
      </c>
      <c r="AM51" s="135"/>
      <c r="AN51" s="135"/>
      <c r="AS51" s="135"/>
      <c r="AT51" s="135"/>
    </row>
    <row r="52" spans="1:46" s="90" customFormat="1" ht="24.75" customHeight="1">
      <c r="A52" s="257"/>
      <c r="B52" s="260"/>
      <c r="C52" s="263"/>
      <c r="D52" s="263"/>
      <c r="E52" s="263"/>
      <c r="F52" s="263"/>
      <c r="G52" s="302"/>
      <c r="H52" s="160"/>
      <c r="I52" s="310"/>
      <c r="J52" s="310"/>
      <c r="K52" s="310"/>
      <c r="L52" s="86"/>
      <c r="M52" s="247"/>
      <c r="N52" s="250"/>
      <c r="O52" s="253"/>
      <c r="P52" s="253"/>
      <c r="Q52" s="253"/>
      <c r="R52" s="253"/>
      <c r="S52" s="253"/>
      <c r="T52" s="255"/>
      <c r="U52" s="91" t="s">
        <v>158</v>
      </c>
      <c r="V52" s="92"/>
      <c r="W52" s="93"/>
      <c r="X52" s="144" t="s">
        <v>34</v>
      </c>
      <c r="Y52" s="84">
        <v>8</v>
      </c>
      <c r="Z52" s="143">
        <v>2500000</v>
      </c>
      <c r="AA52" s="86"/>
      <c r="AB52" s="87">
        <v>1</v>
      </c>
      <c r="AC52" s="88">
        <f t="shared" si="0"/>
        <v>20000000</v>
      </c>
      <c r="AD52" s="241"/>
      <c r="AE52" s="241"/>
      <c r="AF52" s="86"/>
      <c r="AL52" s="132" t="s">
        <v>171</v>
      </c>
      <c r="AM52" s="135"/>
      <c r="AN52" s="135"/>
      <c r="AS52" s="135"/>
      <c r="AT52" s="135"/>
    </row>
    <row r="53" spans="1:46" s="90" customFormat="1" ht="24.75" customHeight="1">
      <c r="A53" s="257"/>
      <c r="B53" s="260"/>
      <c r="C53" s="263"/>
      <c r="D53" s="263"/>
      <c r="E53" s="263"/>
      <c r="F53" s="263"/>
      <c r="G53" s="302"/>
      <c r="H53" s="160"/>
      <c r="I53" s="310"/>
      <c r="J53" s="310"/>
      <c r="K53" s="310"/>
      <c r="L53" s="86"/>
      <c r="M53" s="247"/>
      <c r="N53" s="250"/>
      <c r="O53" s="253"/>
      <c r="P53" s="253"/>
      <c r="Q53" s="253"/>
      <c r="R53" s="253"/>
      <c r="S53" s="253"/>
      <c r="T53" s="255"/>
      <c r="U53" s="100" t="s">
        <v>185</v>
      </c>
      <c r="V53" s="92"/>
      <c r="W53" s="93"/>
      <c r="X53" s="144" t="s">
        <v>34</v>
      </c>
      <c r="Y53" s="84">
        <v>8</v>
      </c>
      <c r="Z53" s="143"/>
      <c r="AA53" s="86"/>
      <c r="AB53" s="87"/>
      <c r="AC53" s="88">
        <f t="shared" si="0"/>
        <v>0</v>
      </c>
      <c r="AD53" s="241"/>
      <c r="AE53" s="241"/>
      <c r="AF53" s="86"/>
      <c r="AL53" s="132" t="s">
        <v>171</v>
      </c>
      <c r="AM53" s="135"/>
      <c r="AN53" s="135"/>
      <c r="AS53" s="135"/>
      <c r="AT53" s="135"/>
    </row>
    <row r="54" spans="1:46" s="90" customFormat="1" ht="24.75" customHeight="1">
      <c r="A54" s="257"/>
      <c r="B54" s="260"/>
      <c r="C54" s="263"/>
      <c r="D54" s="263"/>
      <c r="E54" s="263"/>
      <c r="F54" s="263"/>
      <c r="G54" s="302"/>
      <c r="H54" s="160"/>
      <c r="I54" s="310"/>
      <c r="J54" s="310"/>
      <c r="K54" s="310"/>
      <c r="L54" s="86"/>
      <c r="M54" s="247"/>
      <c r="N54" s="250"/>
      <c r="O54" s="253"/>
      <c r="P54" s="253"/>
      <c r="Q54" s="253"/>
      <c r="R54" s="253"/>
      <c r="S54" s="253"/>
      <c r="T54" s="255"/>
      <c r="U54" s="91" t="s">
        <v>158</v>
      </c>
      <c r="V54" s="92"/>
      <c r="W54" s="93"/>
      <c r="X54" s="144" t="s">
        <v>34</v>
      </c>
      <c r="Y54" s="84">
        <v>4</v>
      </c>
      <c r="Z54" s="143">
        <v>1800000</v>
      </c>
      <c r="AA54" s="86"/>
      <c r="AB54" s="87">
        <v>1</v>
      </c>
      <c r="AC54" s="88">
        <f t="shared" si="0"/>
        <v>7200000</v>
      </c>
      <c r="AD54" s="241"/>
      <c r="AE54" s="241"/>
      <c r="AF54" s="86"/>
      <c r="AL54" s="132"/>
      <c r="AM54" s="135"/>
      <c r="AN54" s="135"/>
      <c r="AS54" s="135"/>
      <c r="AT54" s="135"/>
    </row>
    <row r="55" spans="1:46" s="90" customFormat="1" ht="24.75" customHeight="1">
      <c r="A55" s="258"/>
      <c r="B55" s="261"/>
      <c r="C55" s="264"/>
      <c r="D55" s="264"/>
      <c r="E55" s="264"/>
      <c r="F55" s="264"/>
      <c r="G55" s="308"/>
      <c r="H55" s="160"/>
      <c r="I55" s="311"/>
      <c r="J55" s="311"/>
      <c r="K55" s="311"/>
      <c r="L55" s="86"/>
      <c r="M55" s="248"/>
      <c r="N55" s="251"/>
      <c r="O55" s="254"/>
      <c r="P55" s="254"/>
      <c r="Q55" s="254"/>
      <c r="R55" s="254"/>
      <c r="S55" s="254"/>
      <c r="T55" s="268"/>
      <c r="U55" s="91" t="s">
        <v>164</v>
      </c>
      <c r="V55" s="92"/>
      <c r="W55" s="93">
        <f>W51*0.3</f>
        <v>3.51</v>
      </c>
      <c r="X55" s="144" t="s">
        <v>34</v>
      </c>
      <c r="Y55" s="84">
        <v>4</v>
      </c>
      <c r="Z55" s="143">
        <v>1800000</v>
      </c>
      <c r="AA55" s="86"/>
      <c r="AB55" s="87">
        <v>0.5</v>
      </c>
      <c r="AC55" s="88">
        <f t="shared" si="0"/>
        <v>3600000</v>
      </c>
      <c r="AD55" s="241"/>
      <c r="AE55" s="241"/>
      <c r="AF55" s="86"/>
      <c r="AL55" s="132" t="s">
        <v>171</v>
      </c>
      <c r="AM55" s="135"/>
      <c r="AN55" s="135"/>
      <c r="AS55" s="135"/>
      <c r="AT55" s="135"/>
    </row>
    <row r="56" spans="1:46" s="90" customFormat="1" ht="33.75" customHeight="1">
      <c r="A56" s="256">
        <v>5</v>
      </c>
      <c r="B56" s="259" t="s">
        <v>189</v>
      </c>
      <c r="C56" s="262">
        <v>64</v>
      </c>
      <c r="D56" s="312">
        <v>52</v>
      </c>
      <c r="E56" s="268">
        <v>143.6</v>
      </c>
      <c r="F56" s="268" t="s">
        <v>2</v>
      </c>
      <c r="G56" s="313">
        <v>144</v>
      </c>
      <c r="H56" s="313"/>
      <c r="I56" s="314">
        <f>E56-G56</f>
        <v>-0.40000000000000568</v>
      </c>
      <c r="J56" s="315">
        <v>489</v>
      </c>
      <c r="K56" s="318">
        <v>1720</v>
      </c>
      <c r="L56" s="243"/>
      <c r="M56" s="246">
        <f>J56/K56</f>
        <v>0.28430232558139534</v>
      </c>
      <c r="N56" s="249">
        <f>IF(M56&lt;0.1,2,IF(M56&lt;0.2,3,IF(M56&lt;0.3,5,IF(M56&gt;=0.7,12,IF(M56&gt;=0.3,6)))))</f>
        <v>5</v>
      </c>
      <c r="O56" s="252">
        <v>6</v>
      </c>
      <c r="P56" s="252">
        <v>80000</v>
      </c>
      <c r="Q56" s="252">
        <f>(J56+J64)*P56</f>
        <v>39120000</v>
      </c>
      <c r="R56" s="252">
        <f>Q56*3</f>
        <v>117360000</v>
      </c>
      <c r="S56" s="252">
        <f>N56*O56*S7</f>
        <v>15300000</v>
      </c>
      <c r="T56" s="252">
        <f>SUM(Q56:S64)</f>
        <v>171780000</v>
      </c>
      <c r="U56" s="82" t="s">
        <v>242</v>
      </c>
      <c r="V56" s="161">
        <v>20</v>
      </c>
      <c r="W56" s="162">
        <f>G56/V56</f>
        <v>7.2</v>
      </c>
      <c r="X56" s="144" t="s">
        <v>34</v>
      </c>
      <c r="Y56" s="84">
        <v>10</v>
      </c>
      <c r="Z56" s="143"/>
      <c r="AA56" s="144"/>
      <c r="AB56" s="87"/>
      <c r="AC56" s="88">
        <f t="shared" si="0"/>
        <v>0</v>
      </c>
      <c r="AD56" s="240">
        <f>AC56+AC57+AC58+AC59+AC60+AC61+AC62+AC63+AC64</f>
        <v>69010000</v>
      </c>
      <c r="AE56" s="240">
        <f>T56+AD56+AD64</f>
        <v>240790000</v>
      </c>
      <c r="AF56" s="326" t="s">
        <v>176</v>
      </c>
      <c r="AL56" s="132" t="s">
        <v>171</v>
      </c>
      <c r="AM56" s="135"/>
      <c r="AN56" s="135"/>
    </row>
    <row r="57" spans="1:46" s="90" customFormat="1" ht="21.95" customHeight="1">
      <c r="A57" s="257"/>
      <c r="B57" s="260"/>
      <c r="C57" s="263"/>
      <c r="D57" s="312"/>
      <c r="E57" s="268"/>
      <c r="F57" s="268"/>
      <c r="G57" s="313"/>
      <c r="H57" s="313"/>
      <c r="I57" s="314"/>
      <c r="J57" s="316"/>
      <c r="K57" s="319"/>
      <c r="L57" s="244"/>
      <c r="M57" s="247"/>
      <c r="N57" s="250"/>
      <c r="O57" s="253"/>
      <c r="P57" s="253"/>
      <c r="Q57" s="253"/>
      <c r="R57" s="253"/>
      <c r="S57" s="253"/>
      <c r="T57" s="253"/>
      <c r="U57" s="163" t="s">
        <v>158</v>
      </c>
      <c r="V57" s="161"/>
      <c r="W57" s="162"/>
      <c r="X57" s="144" t="s">
        <v>34</v>
      </c>
      <c r="Y57" s="84">
        <v>7</v>
      </c>
      <c r="Z57" s="85">
        <v>2500000</v>
      </c>
      <c r="AA57" s="144"/>
      <c r="AB57" s="87">
        <v>1</v>
      </c>
      <c r="AC57" s="88">
        <f t="shared" si="0"/>
        <v>17500000</v>
      </c>
      <c r="AD57" s="241"/>
      <c r="AE57" s="241"/>
      <c r="AF57" s="327"/>
      <c r="AL57" s="132" t="s">
        <v>171</v>
      </c>
      <c r="AM57" s="135">
        <v>33164006887</v>
      </c>
      <c r="AN57" s="135"/>
    </row>
    <row r="58" spans="1:46" s="90" customFormat="1" ht="21.95" customHeight="1">
      <c r="A58" s="257"/>
      <c r="B58" s="260"/>
      <c r="C58" s="263"/>
      <c r="D58" s="312"/>
      <c r="E58" s="268"/>
      <c r="F58" s="268"/>
      <c r="G58" s="313"/>
      <c r="H58" s="313"/>
      <c r="I58" s="314"/>
      <c r="J58" s="316"/>
      <c r="K58" s="319"/>
      <c r="L58" s="244"/>
      <c r="M58" s="247"/>
      <c r="N58" s="250"/>
      <c r="O58" s="253"/>
      <c r="P58" s="253"/>
      <c r="Q58" s="253"/>
      <c r="R58" s="253"/>
      <c r="S58" s="253"/>
      <c r="T58" s="253"/>
      <c r="U58" s="163" t="s">
        <v>164</v>
      </c>
      <c r="V58" s="164"/>
      <c r="W58" s="165">
        <f>(Y56-Y57)*0.3</f>
        <v>0.89999999999999991</v>
      </c>
      <c r="X58" s="144" t="s">
        <v>34</v>
      </c>
      <c r="Y58" s="84">
        <v>1</v>
      </c>
      <c r="Z58" s="85">
        <v>2500000</v>
      </c>
      <c r="AA58" s="86"/>
      <c r="AB58" s="87">
        <v>0.3</v>
      </c>
      <c r="AC58" s="88">
        <f t="shared" si="0"/>
        <v>750000</v>
      </c>
      <c r="AD58" s="241"/>
      <c r="AE58" s="241"/>
      <c r="AF58" s="327"/>
      <c r="AL58" s="132" t="s">
        <v>171</v>
      </c>
      <c r="AM58" s="135"/>
      <c r="AN58" s="135"/>
    </row>
    <row r="59" spans="1:46" s="90" customFormat="1" ht="21.95" customHeight="1">
      <c r="A59" s="257"/>
      <c r="B59" s="260"/>
      <c r="C59" s="263"/>
      <c r="D59" s="312"/>
      <c r="E59" s="268"/>
      <c r="F59" s="268"/>
      <c r="G59" s="313"/>
      <c r="H59" s="313"/>
      <c r="I59" s="314"/>
      <c r="J59" s="316"/>
      <c r="K59" s="319"/>
      <c r="L59" s="244"/>
      <c r="M59" s="247"/>
      <c r="N59" s="250"/>
      <c r="O59" s="253"/>
      <c r="P59" s="253"/>
      <c r="Q59" s="253"/>
      <c r="R59" s="253"/>
      <c r="S59" s="253"/>
      <c r="T59" s="253"/>
      <c r="U59" s="163" t="s">
        <v>165</v>
      </c>
      <c r="V59" s="161"/>
      <c r="W59" s="162"/>
      <c r="X59" s="144" t="s">
        <v>34</v>
      </c>
      <c r="Y59" s="84">
        <v>2</v>
      </c>
      <c r="Z59" s="85">
        <v>2500000</v>
      </c>
      <c r="AA59" s="86"/>
      <c r="AB59" s="87">
        <v>0</v>
      </c>
      <c r="AC59" s="88">
        <f t="shared" si="0"/>
        <v>0</v>
      </c>
      <c r="AD59" s="241"/>
      <c r="AE59" s="241"/>
      <c r="AF59" s="327"/>
      <c r="AL59" s="132" t="s">
        <v>171</v>
      </c>
      <c r="AM59" s="135"/>
      <c r="AN59" s="135"/>
    </row>
    <row r="60" spans="1:46" s="90" customFormat="1" ht="34.5" customHeight="1">
      <c r="A60" s="257"/>
      <c r="B60" s="260"/>
      <c r="C60" s="263"/>
      <c r="D60" s="312"/>
      <c r="E60" s="268"/>
      <c r="F60" s="268"/>
      <c r="G60" s="313"/>
      <c r="H60" s="313"/>
      <c r="I60" s="314"/>
      <c r="J60" s="316"/>
      <c r="K60" s="319"/>
      <c r="L60" s="244"/>
      <c r="M60" s="247"/>
      <c r="N60" s="250"/>
      <c r="O60" s="253"/>
      <c r="P60" s="253"/>
      <c r="Q60" s="253"/>
      <c r="R60" s="253"/>
      <c r="S60" s="253"/>
      <c r="T60" s="253"/>
      <c r="U60" s="100" t="s">
        <v>178</v>
      </c>
      <c r="V60" s="164">
        <v>4</v>
      </c>
      <c r="W60" s="165">
        <f>G56/V60</f>
        <v>36</v>
      </c>
      <c r="X60" s="144" t="s">
        <v>49</v>
      </c>
      <c r="Y60" s="84">
        <v>25</v>
      </c>
      <c r="Z60" s="85"/>
      <c r="AA60" s="86"/>
      <c r="AB60" s="87"/>
      <c r="AC60" s="88">
        <f t="shared" si="0"/>
        <v>0</v>
      </c>
      <c r="AD60" s="241"/>
      <c r="AE60" s="241"/>
      <c r="AF60" s="327"/>
      <c r="AL60" s="132"/>
      <c r="AM60" s="135"/>
      <c r="AN60" s="135"/>
    </row>
    <row r="61" spans="1:46" s="90" customFormat="1" ht="21.95" customHeight="1">
      <c r="A61" s="257"/>
      <c r="B61" s="260"/>
      <c r="C61" s="263"/>
      <c r="D61" s="312"/>
      <c r="E61" s="268"/>
      <c r="F61" s="268"/>
      <c r="G61" s="313"/>
      <c r="H61" s="313"/>
      <c r="I61" s="314"/>
      <c r="J61" s="316"/>
      <c r="K61" s="319"/>
      <c r="L61" s="244"/>
      <c r="M61" s="247"/>
      <c r="N61" s="250"/>
      <c r="O61" s="253"/>
      <c r="P61" s="253"/>
      <c r="Q61" s="253"/>
      <c r="R61" s="253"/>
      <c r="S61" s="253"/>
      <c r="T61" s="253"/>
      <c r="U61" s="163" t="s">
        <v>158</v>
      </c>
      <c r="V61" s="164"/>
      <c r="W61" s="165">
        <f>0.3*W60</f>
        <v>10.799999999999999</v>
      </c>
      <c r="X61" s="144" t="s">
        <v>49</v>
      </c>
      <c r="Y61" s="84">
        <v>11</v>
      </c>
      <c r="Z61" s="85">
        <v>200000</v>
      </c>
      <c r="AA61" s="86"/>
      <c r="AB61" s="87">
        <v>0.3</v>
      </c>
      <c r="AC61" s="88">
        <f t="shared" si="0"/>
        <v>660000</v>
      </c>
      <c r="AD61" s="241"/>
      <c r="AE61" s="241"/>
      <c r="AF61" s="327"/>
      <c r="AL61" s="132"/>
      <c r="AM61" s="135"/>
      <c r="AN61" s="135"/>
    </row>
    <row r="62" spans="1:46" s="90" customFormat="1" ht="21.95" customHeight="1">
      <c r="A62" s="257"/>
      <c r="B62" s="260"/>
      <c r="C62" s="263"/>
      <c r="D62" s="312"/>
      <c r="E62" s="268"/>
      <c r="F62" s="268"/>
      <c r="G62" s="313"/>
      <c r="H62" s="313"/>
      <c r="I62" s="314"/>
      <c r="J62" s="316"/>
      <c r="K62" s="319"/>
      <c r="L62" s="244"/>
      <c r="M62" s="247"/>
      <c r="N62" s="250"/>
      <c r="O62" s="253"/>
      <c r="P62" s="253"/>
      <c r="Q62" s="253"/>
      <c r="R62" s="253"/>
      <c r="S62" s="253"/>
      <c r="T62" s="253"/>
      <c r="U62" s="163" t="s">
        <v>244</v>
      </c>
      <c r="V62" s="161"/>
      <c r="W62" s="162"/>
      <c r="X62" s="144" t="s">
        <v>49</v>
      </c>
      <c r="Y62" s="84">
        <v>14</v>
      </c>
      <c r="Z62" s="85">
        <v>200000</v>
      </c>
      <c r="AA62" s="86"/>
      <c r="AB62" s="87">
        <v>0</v>
      </c>
      <c r="AC62" s="88">
        <f t="shared" si="0"/>
        <v>0</v>
      </c>
      <c r="AD62" s="241"/>
      <c r="AE62" s="241"/>
      <c r="AF62" s="327"/>
      <c r="AL62" s="132"/>
      <c r="AM62" s="135"/>
      <c r="AN62" s="135"/>
    </row>
    <row r="63" spans="1:46" s="90" customFormat="1" ht="21.95" customHeight="1">
      <c r="A63" s="257"/>
      <c r="B63" s="260"/>
      <c r="C63" s="263"/>
      <c r="D63" s="161">
        <v>720</v>
      </c>
      <c r="E63" s="144">
        <v>137</v>
      </c>
      <c r="F63" s="144" t="s">
        <v>2</v>
      </c>
      <c r="G63" s="160">
        <v>137</v>
      </c>
      <c r="H63" s="313"/>
      <c r="I63" s="166">
        <f>E63-G63</f>
        <v>0</v>
      </c>
      <c r="J63" s="316"/>
      <c r="K63" s="319"/>
      <c r="L63" s="244"/>
      <c r="M63" s="247"/>
      <c r="N63" s="250"/>
      <c r="O63" s="253"/>
      <c r="P63" s="253"/>
      <c r="Q63" s="253"/>
      <c r="R63" s="253"/>
      <c r="S63" s="253"/>
      <c r="T63" s="253"/>
      <c r="U63" s="82" t="s">
        <v>175</v>
      </c>
      <c r="V63" s="161"/>
      <c r="W63" s="162"/>
      <c r="X63" s="167" t="s">
        <v>38</v>
      </c>
      <c r="Y63" s="84">
        <v>270</v>
      </c>
      <c r="Z63" s="85">
        <v>180000</v>
      </c>
      <c r="AA63" s="86"/>
      <c r="AB63" s="87">
        <v>1</v>
      </c>
      <c r="AC63" s="88">
        <f t="shared" si="0"/>
        <v>48600000</v>
      </c>
      <c r="AD63" s="241"/>
      <c r="AE63" s="241"/>
      <c r="AF63" s="327"/>
      <c r="AL63" s="132"/>
      <c r="AM63" s="135"/>
      <c r="AN63" s="135"/>
    </row>
    <row r="64" spans="1:46" s="90" customFormat="1" ht="21.95" customHeight="1">
      <c r="A64" s="257"/>
      <c r="B64" s="260"/>
      <c r="C64" s="264"/>
      <c r="D64" s="161">
        <v>729</v>
      </c>
      <c r="E64" s="144">
        <v>223.9</v>
      </c>
      <c r="F64" s="144" t="s">
        <v>2</v>
      </c>
      <c r="G64" s="160">
        <v>208</v>
      </c>
      <c r="H64" s="160"/>
      <c r="I64" s="166">
        <f>E64-G64</f>
        <v>15.900000000000006</v>
      </c>
      <c r="J64" s="317"/>
      <c r="K64" s="320"/>
      <c r="L64" s="138"/>
      <c r="M64" s="248"/>
      <c r="N64" s="251"/>
      <c r="O64" s="254"/>
      <c r="P64" s="254"/>
      <c r="Q64" s="254"/>
      <c r="R64" s="254"/>
      <c r="S64" s="254"/>
      <c r="T64" s="254"/>
      <c r="U64" s="100" t="s">
        <v>241</v>
      </c>
      <c r="V64" s="164"/>
      <c r="W64" s="165"/>
      <c r="X64" s="167" t="s">
        <v>38</v>
      </c>
      <c r="Y64" s="84">
        <v>75</v>
      </c>
      <c r="Z64" s="85">
        <v>20000</v>
      </c>
      <c r="AA64" s="86"/>
      <c r="AB64" s="87">
        <v>1</v>
      </c>
      <c r="AC64" s="88">
        <f t="shared" si="0"/>
        <v>1500000</v>
      </c>
      <c r="AD64" s="241"/>
      <c r="AE64" s="241"/>
      <c r="AF64" s="327"/>
      <c r="AL64" s="132" t="s">
        <v>171</v>
      </c>
      <c r="AM64" s="135"/>
      <c r="AN64" s="135"/>
    </row>
    <row r="65" spans="1:46" s="90" customFormat="1" ht="24.75" customHeight="1">
      <c r="A65" s="256">
        <v>6</v>
      </c>
      <c r="B65" s="259" t="s">
        <v>204</v>
      </c>
      <c r="C65" s="262">
        <v>62</v>
      </c>
      <c r="D65" s="262">
        <v>241</v>
      </c>
      <c r="E65" s="262">
        <v>2354</v>
      </c>
      <c r="F65" s="262" t="s">
        <v>2</v>
      </c>
      <c r="G65" s="301">
        <v>2268</v>
      </c>
      <c r="H65" s="160"/>
      <c r="I65" s="309">
        <f>E65-G65</f>
        <v>86</v>
      </c>
      <c r="J65" s="309">
        <f>G65</f>
        <v>2268</v>
      </c>
      <c r="K65" s="309">
        <v>2268</v>
      </c>
      <c r="L65" s="252"/>
      <c r="M65" s="246">
        <f>J65/K65</f>
        <v>1</v>
      </c>
      <c r="N65" s="249">
        <f>IF(M65&lt;0.1,2,IF(M65&lt;0.2,3,IF(M65&lt;0.3,5,IF(M65&gt;=0.7,12,IF(M65&gt;=0.3,6)))))</f>
        <v>12</v>
      </c>
      <c r="O65" s="252">
        <v>5</v>
      </c>
      <c r="P65" s="252">
        <v>80000</v>
      </c>
      <c r="Q65" s="252">
        <f>J65*P65</f>
        <v>181440000</v>
      </c>
      <c r="R65" s="252">
        <f>Q65*3</f>
        <v>544320000</v>
      </c>
      <c r="S65" s="252">
        <f>N65*O65*S7</f>
        <v>30600000</v>
      </c>
      <c r="T65" s="252">
        <f>SUM(Q65:S90)</f>
        <v>756360000</v>
      </c>
      <c r="U65" s="82" t="s">
        <v>172</v>
      </c>
      <c r="V65" s="144">
        <v>25</v>
      </c>
      <c r="W65" s="160">
        <f>(J65-Y87-Y90)/V65</f>
        <v>89.72</v>
      </c>
      <c r="X65" s="144" t="s">
        <v>34</v>
      </c>
      <c r="Y65" s="84">
        <v>30</v>
      </c>
      <c r="Z65" s="85"/>
      <c r="AA65" s="86"/>
      <c r="AB65" s="87"/>
      <c r="AC65" s="88">
        <f t="shared" si="0"/>
        <v>0</v>
      </c>
      <c r="AD65" s="240">
        <f>AC65+AC66+AC67+AC68+AC69+AC70+AC71+AC72+AC73+AC74+AC75+AC76+AC77+AC78+AC79+AC80+AC81+AC82+AC83+AC84+AC85+AC86+AC87+AC88+AC89+AC90</f>
        <v>257375000</v>
      </c>
      <c r="AE65" s="240">
        <f>T65+AD65</f>
        <v>1013735000</v>
      </c>
      <c r="AF65" s="86" t="s">
        <v>173</v>
      </c>
      <c r="AL65" s="132" t="s">
        <v>171</v>
      </c>
      <c r="AM65" s="135">
        <v>33071005893</v>
      </c>
      <c r="AN65" s="135"/>
      <c r="AS65" s="135"/>
      <c r="AT65" s="135"/>
    </row>
    <row r="66" spans="1:46" s="90" customFormat="1" ht="24.75" customHeight="1">
      <c r="A66" s="257"/>
      <c r="B66" s="260"/>
      <c r="C66" s="263"/>
      <c r="D66" s="263"/>
      <c r="E66" s="263"/>
      <c r="F66" s="263"/>
      <c r="G66" s="302"/>
      <c r="H66" s="160"/>
      <c r="I66" s="310"/>
      <c r="J66" s="310"/>
      <c r="K66" s="310"/>
      <c r="L66" s="253"/>
      <c r="M66" s="247"/>
      <c r="N66" s="250"/>
      <c r="O66" s="253"/>
      <c r="P66" s="253"/>
      <c r="Q66" s="253"/>
      <c r="R66" s="253"/>
      <c r="S66" s="253"/>
      <c r="T66" s="253"/>
      <c r="U66" s="91" t="s">
        <v>158</v>
      </c>
      <c r="V66" s="144"/>
      <c r="W66" s="160"/>
      <c r="X66" s="144" t="s">
        <v>34</v>
      </c>
      <c r="Y66" s="84">
        <v>30</v>
      </c>
      <c r="Z66" s="85">
        <v>4500000</v>
      </c>
      <c r="AA66" s="144"/>
      <c r="AB66" s="87">
        <v>1</v>
      </c>
      <c r="AC66" s="88">
        <f t="shared" si="0"/>
        <v>135000000</v>
      </c>
      <c r="AD66" s="241"/>
      <c r="AE66" s="241"/>
      <c r="AF66" s="86"/>
      <c r="AL66" s="132"/>
      <c r="AM66" s="135"/>
      <c r="AN66" s="135"/>
      <c r="AS66" s="135"/>
      <c r="AT66" s="135"/>
    </row>
    <row r="67" spans="1:46" s="90" customFormat="1" ht="24.75" customHeight="1">
      <c r="A67" s="257"/>
      <c r="B67" s="260"/>
      <c r="C67" s="263"/>
      <c r="D67" s="263"/>
      <c r="E67" s="263"/>
      <c r="F67" s="263"/>
      <c r="G67" s="302"/>
      <c r="H67" s="160"/>
      <c r="I67" s="310"/>
      <c r="J67" s="310"/>
      <c r="K67" s="310"/>
      <c r="L67" s="253"/>
      <c r="M67" s="247"/>
      <c r="N67" s="250"/>
      <c r="O67" s="253"/>
      <c r="P67" s="253"/>
      <c r="Q67" s="253"/>
      <c r="R67" s="253"/>
      <c r="S67" s="253"/>
      <c r="T67" s="253"/>
      <c r="U67" s="82" t="s">
        <v>166</v>
      </c>
      <c r="V67" s="144"/>
      <c r="W67" s="160"/>
      <c r="X67" s="144" t="s">
        <v>34</v>
      </c>
      <c r="Y67" s="84">
        <v>10</v>
      </c>
      <c r="Z67" s="143"/>
      <c r="AA67" s="144"/>
      <c r="AB67" s="87"/>
      <c r="AC67" s="88">
        <f t="shared" si="0"/>
        <v>0</v>
      </c>
      <c r="AD67" s="241"/>
      <c r="AE67" s="241"/>
      <c r="AF67" s="86"/>
      <c r="AL67" s="132"/>
      <c r="AM67" s="135"/>
      <c r="AN67" s="135"/>
      <c r="AS67" s="135"/>
      <c r="AT67" s="135"/>
    </row>
    <row r="68" spans="1:46" s="90" customFormat="1" ht="24.75" customHeight="1">
      <c r="A68" s="257"/>
      <c r="B68" s="260"/>
      <c r="C68" s="263"/>
      <c r="D68" s="263"/>
      <c r="E68" s="263"/>
      <c r="F68" s="263"/>
      <c r="G68" s="302"/>
      <c r="H68" s="160"/>
      <c r="I68" s="310"/>
      <c r="J68" s="310"/>
      <c r="K68" s="310"/>
      <c r="L68" s="253"/>
      <c r="M68" s="247"/>
      <c r="N68" s="250"/>
      <c r="O68" s="253"/>
      <c r="P68" s="253"/>
      <c r="Q68" s="253"/>
      <c r="R68" s="253"/>
      <c r="S68" s="253"/>
      <c r="T68" s="253"/>
      <c r="U68" s="91" t="s">
        <v>158</v>
      </c>
      <c r="V68" s="144"/>
      <c r="W68" s="160"/>
      <c r="X68" s="144" t="s">
        <v>49</v>
      </c>
      <c r="Y68" s="84">
        <v>10</v>
      </c>
      <c r="Z68" s="85">
        <v>3850000</v>
      </c>
      <c r="AA68" s="144"/>
      <c r="AB68" s="87">
        <v>1</v>
      </c>
      <c r="AC68" s="88">
        <f t="shared" si="0"/>
        <v>38500000</v>
      </c>
      <c r="AD68" s="241"/>
      <c r="AE68" s="241"/>
      <c r="AF68" s="86"/>
      <c r="AL68" s="132"/>
      <c r="AM68" s="135"/>
      <c r="AN68" s="135"/>
      <c r="AS68" s="135"/>
      <c r="AT68" s="135"/>
    </row>
    <row r="69" spans="1:46" s="90" customFormat="1" ht="33" customHeight="1">
      <c r="A69" s="257"/>
      <c r="B69" s="260"/>
      <c r="C69" s="263"/>
      <c r="D69" s="263"/>
      <c r="E69" s="263"/>
      <c r="F69" s="263"/>
      <c r="G69" s="302"/>
      <c r="H69" s="160"/>
      <c r="I69" s="310"/>
      <c r="J69" s="310"/>
      <c r="K69" s="310"/>
      <c r="L69" s="253"/>
      <c r="M69" s="247"/>
      <c r="N69" s="250"/>
      <c r="O69" s="253"/>
      <c r="P69" s="253"/>
      <c r="Q69" s="253"/>
      <c r="R69" s="253"/>
      <c r="S69" s="253"/>
      <c r="T69" s="253"/>
      <c r="U69" s="82" t="s">
        <v>168</v>
      </c>
      <c r="V69" s="144">
        <v>20</v>
      </c>
      <c r="W69" s="160">
        <f>(G65-Y87-Y90)/V69</f>
        <v>112.15</v>
      </c>
      <c r="X69" s="144" t="s">
        <v>34</v>
      </c>
      <c r="Y69" s="84">
        <v>40</v>
      </c>
      <c r="Z69" s="143"/>
      <c r="AA69" s="144"/>
      <c r="AB69" s="87"/>
      <c r="AC69" s="88">
        <f t="shared" si="0"/>
        <v>0</v>
      </c>
      <c r="AD69" s="241"/>
      <c r="AE69" s="241"/>
      <c r="AF69" s="86"/>
      <c r="AL69" s="132"/>
      <c r="AM69" s="135"/>
      <c r="AN69" s="135"/>
      <c r="AS69" s="135"/>
      <c r="AT69" s="135"/>
    </row>
    <row r="70" spans="1:46" s="90" customFormat="1" ht="24.75" customHeight="1">
      <c r="A70" s="257"/>
      <c r="B70" s="260"/>
      <c r="C70" s="263"/>
      <c r="D70" s="263"/>
      <c r="E70" s="263"/>
      <c r="F70" s="263"/>
      <c r="G70" s="302"/>
      <c r="H70" s="160"/>
      <c r="I70" s="310"/>
      <c r="J70" s="310"/>
      <c r="K70" s="310"/>
      <c r="L70" s="253"/>
      <c r="M70" s="247"/>
      <c r="N70" s="250"/>
      <c r="O70" s="253"/>
      <c r="P70" s="253"/>
      <c r="Q70" s="253"/>
      <c r="R70" s="253"/>
      <c r="S70" s="253"/>
      <c r="T70" s="253"/>
      <c r="U70" s="91" t="s">
        <v>158</v>
      </c>
      <c r="V70" s="144"/>
      <c r="W70" s="160"/>
      <c r="X70" s="144" t="s">
        <v>34</v>
      </c>
      <c r="Y70" s="84">
        <v>40</v>
      </c>
      <c r="Z70" s="143">
        <v>2500000</v>
      </c>
      <c r="AA70" s="144"/>
      <c r="AB70" s="87">
        <v>0.5</v>
      </c>
      <c r="AC70" s="88">
        <f t="shared" si="0"/>
        <v>50000000</v>
      </c>
      <c r="AD70" s="241"/>
      <c r="AE70" s="241"/>
      <c r="AF70" s="86"/>
      <c r="AL70" s="132"/>
      <c r="AM70" s="135"/>
      <c r="AN70" s="135"/>
      <c r="AS70" s="135"/>
      <c r="AT70" s="135"/>
    </row>
    <row r="71" spans="1:46" s="90" customFormat="1" ht="33" customHeight="1">
      <c r="A71" s="257"/>
      <c r="B71" s="260"/>
      <c r="C71" s="263"/>
      <c r="D71" s="263"/>
      <c r="E71" s="263"/>
      <c r="F71" s="263"/>
      <c r="G71" s="302"/>
      <c r="H71" s="160"/>
      <c r="I71" s="310"/>
      <c r="J71" s="310"/>
      <c r="K71" s="310"/>
      <c r="L71" s="253"/>
      <c r="M71" s="247"/>
      <c r="N71" s="250"/>
      <c r="O71" s="253"/>
      <c r="P71" s="253"/>
      <c r="Q71" s="253"/>
      <c r="R71" s="253"/>
      <c r="S71" s="253"/>
      <c r="T71" s="253"/>
      <c r="U71" s="82" t="s">
        <v>179</v>
      </c>
      <c r="V71" s="144"/>
      <c r="W71" s="160"/>
      <c r="X71" s="144" t="s">
        <v>34</v>
      </c>
      <c r="Y71" s="84">
        <v>10</v>
      </c>
      <c r="Z71" s="143"/>
      <c r="AA71" s="144"/>
      <c r="AB71" s="87"/>
      <c r="AC71" s="88">
        <f t="shared" si="0"/>
        <v>0</v>
      </c>
      <c r="AD71" s="241"/>
      <c r="AE71" s="241"/>
      <c r="AF71" s="86"/>
      <c r="AL71" s="132"/>
      <c r="AM71" s="135"/>
      <c r="AN71" s="135"/>
      <c r="AS71" s="135"/>
      <c r="AT71" s="135"/>
    </row>
    <row r="72" spans="1:46" s="90" customFormat="1" ht="24.75" customHeight="1">
      <c r="A72" s="257"/>
      <c r="B72" s="260"/>
      <c r="C72" s="263"/>
      <c r="D72" s="263"/>
      <c r="E72" s="263"/>
      <c r="F72" s="263"/>
      <c r="G72" s="302"/>
      <c r="H72" s="160"/>
      <c r="I72" s="310"/>
      <c r="J72" s="310"/>
      <c r="K72" s="310"/>
      <c r="L72" s="253"/>
      <c r="M72" s="247"/>
      <c r="N72" s="250"/>
      <c r="O72" s="253"/>
      <c r="P72" s="253"/>
      <c r="Q72" s="253"/>
      <c r="R72" s="253"/>
      <c r="S72" s="253"/>
      <c r="T72" s="253"/>
      <c r="U72" s="91" t="s">
        <v>158</v>
      </c>
      <c r="V72" s="144"/>
      <c r="W72" s="160"/>
      <c r="X72" s="144" t="s">
        <v>34</v>
      </c>
      <c r="Y72" s="84">
        <v>10</v>
      </c>
      <c r="Z72" s="143">
        <v>1800000</v>
      </c>
      <c r="AA72" s="144"/>
      <c r="AB72" s="87">
        <v>0.5</v>
      </c>
      <c r="AC72" s="88">
        <f t="shared" si="0"/>
        <v>9000000</v>
      </c>
      <c r="AD72" s="241"/>
      <c r="AE72" s="241"/>
      <c r="AF72" s="86"/>
      <c r="AL72" s="132"/>
      <c r="AM72" s="135"/>
      <c r="AN72" s="135"/>
      <c r="AS72" s="135"/>
      <c r="AT72" s="135"/>
    </row>
    <row r="73" spans="1:46" s="90" customFormat="1" ht="33" customHeight="1">
      <c r="A73" s="257"/>
      <c r="B73" s="260"/>
      <c r="C73" s="263"/>
      <c r="D73" s="263"/>
      <c r="E73" s="263"/>
      <c r="F73" s="263"/>
      <c r="G73" s="302"/>
      <c r="H73" s="160"/>
      <c r="I73" s="310"/>
      <c r="J73" s="310"/>
      <c r="K73" s="310"/>
      <c r="L73" s="253"/>
      <c r="M73" s="247"/>
      <c r="N73" s="250"/>
      <c r="O73" s="253"/>
      <c r="P73" s="253"/>
      <c r="Q73" s="253"/>
      <c r="R73" s="253"/>
      <c r="S73" s="253"/>
      <c r="T73" s="253"/>
      <c r="U73" s="91" t="s">
        <v>205</v>
      </c>
      <c r="V73" s="144">
        <v>25</v>
      </c>
      <c r="W73" s="160">
        <f>(J65-Y87-Y90)/V73</f>
        <v>89.72</v>
      </c>
      <c r="X73" s="144" t="s">
        <v>34</v>
      </c>
      <c r="Y73" s="84">
        <v>10</v>
      </c>
      <c r="Z73" s="143"/>
      <c r="AA73" s="144"/>
      <c r="AB73" s="87"/>
      <c r="AC73" s="88">
        <f t="shared" si="0"/>
        <v>0</v>
      </c>
      <c r="AD73" s="241"/>
      <c r="AE73" s="241"/>
      <c r="AF73" s="86"/>
      <c r="AL73" s="132"/>
      <c r="AM73" s="135"/>
      <c r="AN73" s="135"/>
      <c r="AS73" s="135"/>
      <c r="AT73" s="135"/>
    </row>
    <row r="74" spans="1:46" s="90" customFormat="1" ht="24.75" customHeight="1">
      <c r="A74" s="257"/>
      <c r="B74" s="260"/>
      <c r="C74" s="263"/>
      <c r="D74" s="263"/>
      <c r="E74" s="263"/>
      <c r="F74" s="263"/>
      <c r="G74" s="302"/>
      <c r="H74" s="160"/>
      <c r="I74" s="310"/>
      <c r="J74" s="310"/>
      <c r="K74" s="310"/>
      <c r="L74" s="253"/>
      <c r="M74" s="247"/>
      <c r="N74" s="250"/>
      <c r="O74" s="253"/>
      <c r="P74" s="253"/>
      <c r="Q74" s="253"/>
      <c r="R74" s="253"/>
      <c r="S74" s="253"/>
      <c r="T74" s="253"/>
      <c r="U74" s="91" t="s">
        <v>158</v>
      </c>
      <c r="V74" s="144"/>
      <c r="W74" s="160"/>
      <c r="X74" s="144" t="s">
        <v>34</v>
      </c>
      <c r="Y74" s="84">
        <v>10</v>
      </c>
      <c r="Z74" s="143">
        <v>500000</v>
      </c>
      <c r="AA74" s="144"/>
      <c r="AB74" s="87">
        <v>0.5</v>
      </c>
      <c r="AC74" s="88">
        <f t="shared" ref="AC74:AC127" si="1">Y74*Z74*AB74</f>
        <v>2500000</v>
      </c>
      <c r="AD74" s="241"/>
      <c r="AE74" s="241"/>
      <c r="AF74" s="86"/>
      <c r="AL74" s="132"/>
      <c r="AM74" s="135"/>
      <c r="AN74" s="135"/>
      <c r="AS74" s="135"/>
      <c r="AT74" s="135"/>
    </row>
    <row r="75" spans="1:46" s="90" customFormat="1" ht="33" customHeight="1">
      <c r="A75" s="257"/>
      <c r="B75" s="260"/>
      <c r="C75" s="263"/>
      <c r="D75" s="263"/>
      <c r="E75" s="263"/>
      <c r="F75" s="263"/>
      <c r="G75" s="302"/>
      <c r="H75" s="160"/>
      <c r="I75" s="310"/>
      <c r="J75" s="310"/>
      <c r="K75" s="310"/>
      <c r="L75" s="253"/>
      <c r="M75" s="247"/>
      <c r="N75" s="250"/>
      <c r="O75" s="253"/>
      <c r="P75" s="253"/>
      <c r="Q75" s="253"/>
      <c r="R75" s="253"/>
      <c r="S75" s="253"/>
      <c r="T75" s="253"/>
      <c r="U75" s="100" t="s">
        <v>206</v>
      </c>
      <c r="V75" s="92">
        <v>25</v>
      </c>
      <c r="W75" s="93"/>
      <c r="X75" s="144" t="s">
        <v>34</v>
      </c>
      <c r="Y75" s="84">
        <v>2</v>
      </c>
      <c r="Z75" s="143"/>
      <c r="AA75" s="86"/>
      <c r="AB75" s="87"/>
      <c r="AC75" s="88">
        <f t="shared" si="1"/>
        <v>0</v>
      </c>
      <c r="AD75" s="241"/>
      <c r="AE75" s="241"/>
      <c r="AF75" s="86"/>
      <c r="AL75" s="132"/>
      <c r="AM75" s="135"/>
      <c r="AN75" s="135"/>
      <c r="AS75" s="135"/>
      <c r="AT75" s="135"/>
    </row>
    <row r="76" spans="1:46" s="90" customFormat="1" ht="24.75" customHeight="1">
      <c r="A76" s="257"/>
      <c r="B76" s="260"/>
      <c r="C76" s="263"/>
      <c r="D76" s="263"/>
      <c r="E76" s="263"/>
      <c r="F76" s="263"/>
      <c r="G76" s="302"/>
      <c r="H76" s="160"/>
      <c r="I76" s="310"/>
      <c r="J76" s="310"/>
      <c r="K76" s="310"/>
      <c r="L76" s="253"/>
      <c r="M76" s="247"/>
      <c r="N76" s="250"/>
      <c r="O76" s="253"/>
      <c r="P76" s="253"/>
      <c r="Q76" s="253"/>
      <c r="R76" s="253"/>
      <c r="S76" s="253"/>
      <c r="T76" s="253"/>
      <c r="U76" s="91" t="s">
        <v>158</v>
      </c>
      <c r="V76" s="144"/>
      <c r="W76" s="160"/>
      <c r="X76" s="144" t="s">
        <v>34</v>
      </c>
      <c r="Y76" s="84">
        <v>2</v>
      </c>
      <c r="Z76" s="143">
        <v>1500000</v>
      </c>
      <c r="AA76" s="86"/>
      <c r="AB76" s="87">
        <v>0.5</v>
      </c>
      <c r="AC76" s="88">
        <f t="shared" si="1"/>
        <v>1500000</v>
      </c>
      <c r="AD76" s="241"/>
      <c r="AE76" s="241"/>
      <c r="AF76" s="86"/>
      <c r="AL76" s="132"/>
      <c r="AM76" s="135"/>
      <c r="AN76" s="135"/>
      <c r="AS76" s="135"/>
      <c r="AT76" s="135"/>
    </row>
    <row r="77" spans="1:46" s="90" customFormat="1" ht="33" customHeight="1">
      <c r="A77" s="257"/>
      <c r="B77" s="260"/>
      <c r="C77" s="263"/>
      <c r="D77" s="263"/>
      <c r="E77" s="263"/>
      <c r="F77" s="263"/>
      <c r="G77" s="302"/>
      <c r="H77" s="160"/>
      <c r="I77" s="310"/>
      <c r="J77" s="310"/>
      <c r="K77" s="310"/>
      <c r="L77" s="253"/>
      <c r="M77" s="247"/>
      <c r="N77" s="250"/>
      <c r="O77" s="253"/>
      <c r="P77" s="253"/>
      <c r="Q77" s="253"/>
      <c r="R77" s="253"/>
      <c r="S77" s="253"/>
      <c r="T77" s="253"/>
      <c r="U77" s="100" t="s">
        <v>207</v>
      </c>
      <c r="V77" s="92"/>
      <c r="W77" s="93"/>
      <c r="X77" s="144" t="s">
        <v>34</v>
      </c>
      <c r="Y77" s="84">
        <v>1</v>
      </c>
      <c r="Z77" s="143"/>
      <c r="AA77" s="86"/>
      <c r="AB77" s="87"/>
      <c r="AC77" s="88">
        <f t="shared" si="1"/>
        <v>0</v>
      </c>
      <c r="AD77" s="241"/>
      <c r="AE77" s="241"/>
      <c r="AF77" s="86"/>
      <c r="AL77" s="132"/>
      <c r="AM77" s="135"/>
      <c r="AN77" s="135"/>
      <c r="AS77" s="135"/>
      <c r="AT77" s="135"/>
    </row>
    <row r="78" spans="1:46" s="90" customFormat="1" ht="24.75" customHeight="1">
      <c r="A78" s="257"/>
      <c r="B78" s="260"/>
      <c r="C78" s="263"/>
      <c r="D78" s="263"/>
      <c r="E78" s="263"/>
      <c r="F78" s="263"/>
      <c r="G78" s="302"/>
      <c r="H78" s="160"/>
      <c r="I78" s="310"/>
      <c r="J78" s="310"/>
      <c r="K78" s="310"/>
      <c r="L78" s="253"/>
      <c r="M78" s="247"/>
      <c r="N78" s="250"/>
      <c r="O78" s="253"/>
      <c r="P78" s="253"/>
      <c r="Q78" s="253"/>
      <c r="R78" s="253"/>
      <c r="S78" s="253"/>
      <c r="T78" s="253"/>
      <c r="U78" s="91" t="s">
        <v>158</v>
      </c>
      <c r="V78" s="144"/>
      <c r="W78" s="160"/>
      <c r="X78" s="144" t="s">
        <v>34</v>
      </c>
      <c r="Y78" s="84">
        <v>1</v>
      </c>
      <c r="Z78" s="143">
        <v>200000</v>
      </c>
      <c r="AA78" s="86"/>
      <c r="AB78" s="87">
        <v>0.5</v>
      </c>
      <c r="AC78" s="88">
        <f t="shared" si="1"/>
        <v>100000</v>
      </c>
      <c r="AD78" s="241"/>
      <c r="AE78" s="241"/>
      <c r="AF78" s="86"/>
      <c r="AL78" s="132"/>
      <c r="AM78" s="135"/>
      <c r="AN78" s="135"/>
      <c r="AS78" s="135"/>
      <c r="AT78" s="135"/>
    </row>
    <row r="79" spans="1:46" s="90" customFormat="1" ht="33" customHeight="1">
      <c r="A79" s="257"/>
      <c r="B79" s="260"/>
      <c r="C79" s="263"/>
      <c r="D79" s="263"/>
      <c r="E79" s="263"/>
      <c r="F79" s="263"/>
      <c r="G79" s="302"/>
      <c r="H79" s="160"/>
      <c r="I79" s="310"/>
      <c r="J79" s="310"/>
      <c r="K79" s="310"/>
      <c r="L79" s="253"/>
      <c r="M79" s="247"/>
      <c r="N79" s="250"/>
      <c r="O79" s="253"/>
      <c r="P79" s="253"/>
      <c r="Q79" s="253"/>
      <c r="R79" s="253"/>
      <c r="S79" s="253"/>
      <c r="T79" s="253"/>
      <c r="U79" s="100" t="s">
        <v>208</v>
      </c>
      <c r="V79" s="92"/>
      <c r="W79" s="93"/>
      <c r="X79" s="144" t="s">
        <v>34</v>
      </c>
      <c r="Y79" s="84">
        <v>1</v>
      </c>
      <c r="Z79" s="143"/>
      <c r="AA79" s="86"/>
      <c r="AB79" s="87"/>
      <c r="AC79" s="88">
        <f t="shared" si="1"/>
        <v>0</v>
      </c>
      <c r="AD79" s="241"/>
      <c r="AE79" s="241"/>
      <c r="AF79" s="86"/>
      <c r="AL79" s="132"/>
      <c r="AM79" s="135"/>
      <c r="AN79" s="135"/>
      <c r="AS79" s="135"/>
      <c r="AT79" s="135"/>
    </row>
    <row r="80" spans="1:46" s="90" customFormat="1" ht="24.75" customHeight="1">
      <c r="A80" s="257"/>
      <c r="B80" s="260"/>
      <c r="C80" s="263"/>
      <c r="D80" s="263"/>
      <c r="E80" s="263"/>
      <c r="F80" s="263"/>
      <c r="G80" s="302"/>
      <c r="H80" s="160"/>
      <c r="I80" s="310"/>
      <c r="J80" s="310"/>
      <c r="K80" s="310"/>
      <c r="L80" s="253"/>
      <c r="M80" s="247"/>
      <c r="N80" s="250"/>
      <c r="O80" s="253"/>
      <c r="P80" s="253"/>
      <c r="Q80" s="253"/>
      <c r="R80" s="253"/>
      <c r="S80" s="253"/>
      <c r="T80" s="253"/>
      <c r="U80" s="91" t="s">
        <v>158</v>
      </c>
      <c r="V80" s="144"/>
      <c r="W80" s="160"/>
      <c r="X80" s="144" t="s">
        <v>34</v>
      </c>
      <c r="Y80" s="84">
        <v>1</v>
      </c>
      <c r="Z80" s="143">
        <v>500000</v>
      </c>
      <c r="AA80" s="86"/>
      <c r="AB80" s="87">
        <v>0.5</v>
      </c>
      <c r="AC80" s="88">
        <f t="shared" si="1"/>
        <v>250000</v>
      </c>
      <c r="AD80" s="241"/>
      <c r="AE80" s="241"/>
      <c r="AF80" s="86"/>
      <c r="AL80" s="132"/>
      <c r="AM80" s="135"/>
      <c r="AN80" s="135"/>
      <c r="AS80" s="135"/>
      <c r="AT80" s="135"/>
    </row>
    <row r="81" spans="1:46" s="90" customFormat="1" ht="33" customHeight="1">
      <c r="A81" s="257"/>
      <c r="B81" s="260"/>
      <c r="C81" s="263"/>
      <c r="D81" s="263"/>
      <c r="E81" s="263"/>
      <c r="F81" s="263"/>
      <c r="G81" s="302"/>
      <c r="H81" s="160"/>
      <c r="I81" s="310"/>
      <c r="J81" s="310"/>
      <c r="K81" s="310"/>
      <c r="L81" s="253"/>
      <c r="M81" s="247"/>
      <c r="N81" s="250"/>
      <c r="O81" s="253"/>
      <c r="P81" s="253"/>
      <c r="Q81" s="253"/>
      <c r="R81" s="253"/>
      <c r="S81" s="253"/>
      <c r="T81" s="253"/>
      <c r="U81" s="100" t="s">
        <v>209</v>
      </c>
      <c r="V81" s="92"/>
      <c r="W81" s="93"/>
      <c r="X81" s="144" t="s">
        <v>34</v>
      </c>
      <c r="Y81" s="84">
        <v>1</v>
      </c>
      <c r="Z81" s="143"/>
      <c r="AA81" s="86"/>
      <c r="AB81" s="87"/>
      <c r="AC81" s="88">
        <f t="shared" si="1"/>
        <v>0</v>
      </c>
      <c r="AD81" s="241"/>
      <c r="AE81" s="241"/>
      <c r="AF81" s="86"/>
      <c r="AL81" s="132"/>
      <c r="AM81" s="135"/>
      <c r="AN81" s="135"/>
      <c r="AS81" s="135"/>
      <c r="AT81" s="135"/>
    </row>
    <row r="82" spans="1:46" s="90" customFormat="1" ht="24.75" customHeight="1">
      <c r="A82" s="257"/>
      <c r="B82" s="260"/>
      <c r="C82" s="263"/>
      <c r="D82" s="263"/>
      <c r="E82" s="263"/>
      <c r="F82" s="263"/>
      <c r="G82" s="302"/>
      <c r="H82" s="160"/>
      <c r="I82" s="310"/>
      <c r="J82" s="310"/>
      <c r="K82" s="310"/>
      <c r="L82" s="253"/>
      <c r="M82" s="247"/>
      <c r="N82" s="250"/>
      <c r="O82" s="253"/>
      <c r="P82" s="253"/>
      <c r="Q82" s="253"/>
      <c r="R82" s="253"/>
      <c r="S82" s="253"/>
      <c r="T82" s="253"/>
      <c r="U82" s="91" t="s">
        <v>158</v>
      </c>
      <c r="V82" s="144"/>
      <c r="W82" s="160"/>
      <c r="X82" s="144" t="s">
        <v>34</v>
      </c>
      <c r="Y82" s="84">
        <v>1</v>
      </c>
      <c r="Z82" s="143">
        <v>550000</v>
      </c>
      <c r="AA82" s="86"/>
      <c r="AB82" s="87">
        <v>0.5</v>
      </c>
      <c r="AC82" s="88">
        <f t="shared" si="1"/>
        <v>275000</v>
      </c>
      <c r="AD82" s="241"/>
      <c r="AE82" s="241"/>
      <c r="AF82" s="86"/>
      <c r="AL82" s="132"/>
      <c r="AM82" s="135"/>
      <c r="AN82" s="135"/>
      <c r="AS82" s="135"/>
      <c r="AT82" s="135"/>
    </row>
    <row r="83" spans="1:46" s="90" customFormat="1" ht="33" customHeight="1">
      <c r="A83" s="257"/>
      <c r="B83" s="260"/>
      <c r="C83" s="263"/>
      <c r="D83" s="263"/>
      <c r="E83" s="263"/>
      <c r="F83" s="263"/>
      <c r="G83" s="302"/>
      <c r="H83" s="160"/>
      <c r="I83" s="310"/>
      <c r="J83" s="310"/>
      <c r="K83" s="310"/>
      <c r="L83" s="253"/>
      <c r="M83" s="247"/>
      <c r="N83" s="250"/>
      <c r="O83" s="253"/>
      <c r="P83" s="253"/>
      <c r="Q83" s="253"/>
      <c r="R83" s="253"/>
      <c r="S83" s="253"/>
      <c r="T83" s="253"/>
      <c r="U83" s="100" t="s">
        <v>210</v>
      </c>
      <c r="V83" s="92"/>
      <c r="W83" s="93"/>
      <c r="X83" s="144" t="s">
        <v>34</v>
      </c>
      <c r="Y83" s="84">
        <v>2</v>
      </c>
      <c r="Z83" s="143"/>
      <c r="AA83" s="86"/>
      <c r="AB83" s="87"/>
      <c r="AC83" s="88">
        <f t="shared" si="1"/>
        <v>0</v>
      </c>
      <c r="AD83" s="241"/>
      <c r="AE83" s="241"/>
      <c r="AF83" s="86"/>
      <c r="AL83" s="132"/>
      <c r="AM83" s="135"/>
      <c r="AN83" s="135"/>
      <c r="AS83" s="135"/>
      <c r="AT83" s="135"/>
    </row>
    <row r="84" spans="1:46" s="90" customFormat="1" ht="24.75" customHeight="1">
      <c r="A84" s="257"/>
      <c r="B84" s="260"/>
      <c r="C84" s="263"/>
      <c r="D84" s="263"/>
      <c r="E84" s="263"/>
      <c r="F84" s="263"/>
      <c r="G84" s="302"/>
      <c r="H84" s="160"/>
      <c r="I84" s="310"/>
      <c r="J84" s="310"/>
      <c r="K84" s="310"/>
      <c r="L84" s="253"/>
      <c r="M84" s="247"/>
      <c r="N84" s="250"/>
      <c r="O84" s="253"/>
      <c r="P84" s="253"/>
      <c r="Q84" s="253"/>
      <c r="R84" s="253"/>
      <c r="S84" s="253"/>
      <c r="T84" s="253"/>
      <c r="U84" s="91" t="s">
        <v>158</v>
      </c>
      <c r="V84" s="144"/>
      <c r="W84" s="160"/>
      <c r="X84" s="144" t="s">
        <v>34</v>
      </c>
      <c r="Y84" s="84">
        <v>2</v>
      </c>
      <c r="Z84" s="143">
        <v>1500000</v>
      </c>
      <c r="AA84" s="86"/>
      <c r="AB84" s="87">
        <v>0.5</v>
      </c>
      <c r="AC84" s="88">
        <f t="shared" si="1"/>
        <v>1500000</v>
      </c>
      <c r="AD84" s="241"/>
      <c r="AE84" s="241"/>
      <c r="AF84" s="86"/>
      <c r="AL84" s="132"/>
      <c r="AM84" s="135"/>
      <c r="AN84" s="135"/>
      <c r="AS84" s="135"/>
      <c r="AT84" s="135"/>
    </row>
    <row r="85" spans="1:46" s="90" customFormat="1" ht="24.75" customHeight="1">
      <c r="A85" s="257"/>
      <c r="B85" s="260"/>
      <c r="C85" s="263"/>
      <c r="D85" s="263"/>
      <c r="E85" s="263"/>
      <c r="F85" s="263"/>
      <c r="G85" s="302"/>
      <c r="H85" s="160"/>
      <c r="I85" s="310"/>
      <c r="J85" s="310"/>
      <c r="K85" s="310"/>
      <c r="L85" s="253"/>
      <c r="M85" s="247"/>
      <c r="N85" s="250"/>
      <c r="O85" s="253"/>
      <c r="P85" s="253"/>
      <c r="Q85" s="253"/>
      <c r="R85" s="253"/>
      <c r="S85" s="253"/>
      <c r="T85" s="253"/>
      <c r="U85" s="82" t="s">
        <v>211</v>
      </c>
      <c r="V85" s="144"/>
      <c r="W85" s="160"/>
      <c r="X85" s="144" t="s">
        <v>38</v>
      </c>
      <c r="Y85" s="84">
        <v>1500</v>
      </c>
      <c r="Z85" s="150">
        <v>12500</v>
      </c>
      <c r="AA85" s="86"/>
      <c r="AB85" s="87">
        <v>1</v>
      </c>
      <c r="AC85" s="88">
        <f t="shared" si="1"/>
        <v>18750000</v>
      </c>
      <c r="AD85" s="241"/>
      <c r="AE85" s="241"/>
      <c r="AF85" s="86"/>
      <c r="AL85" s="132"/>
      <c r="AM85" s="135"/>
      <c r="AN85" s="135"/>
      <c r="AS85" s="135"/>
      <c r="AT85" s="135"/>
    </row>
    <row r="86" spans="1:46" s="90" customFormat="1" ht="24.75" customHeight="1">
      <c r="A86" s="257"/>
      <c r="B86" s="260"/>
      <c r="C86" s="263"/>
      <c r="D86" s="263"/>
      <c r="E86" s="263"/>
      <c r="F86" s="263"/>
      <c r="G86" s="302"/>
      <c r="H86" s="160"/>
      <c r="I86" s="310"/>
      <c r="J86" s="310"/>
      <c r="K86" s="310"/>
      <c r="L86" s="253"/>
      <c r="M86" s="247"/>
      <c r="N86" s="250"/>
      <c r="O86" s="253"/>
      <c r="P86" s="253"/>
      <c r="Q86" s="253"/>
      <c r="R86" s="253"/>
      <c r="S86" s="253"/>
      <c r="T86" s="253"/>
      <c r="U86" s="82" t="s">
        <v>212</v>
      </c>
      <c r="V86" s="144"/>
      <c r="W86" s="160"/>
      <c r="X86" s="144" t="s">
        <v>36</v>
      </c>
      <c r="Y86" s="84">
        <v>1</v>
      </c>
      <c r="Z86" s="85"/>
      <c r="AA86" s="86"/>
      <c r="AB86" s="87">
        <v>0</v>
      </c>
      <c r="AC86" s="88">
        <f t="shared" si="1"/>
        <v>0</v>
      </c>
      <c r="AD86" s="241"/>
      <c r="AE86" s="241"/>
      <c r="AF86" s="86"/>
      <c r="AL86" s="132"/>
      <c r="AM86" s="135"/>
      <c r="AN86" s="135"/>
      <c r="AS86" s="135"/>
      <c r="AT86" s="135"/>
    </row>
    <row r="87" spans="1:46" s="90" customFormat="1" ht="53.25" customHeight="1">
      <c r="A87" s="257"/>
      <c r="B87" s="260"/>
      <c r="C87" s="263"/>
      <c r="D87" s="263"/>
      <c r="E87" s="263"/>
      <c r="F87" s="263"/>
      <c r="G87" s="302"/>
      <c r="H87" s="160"/>
      <c r="I87" s="310"/>
      <c r="J87" s="310"/>
      <c r="K87" s="310"/>
      <c r="L87" s="253"/>
      <c r="M87" s="247"/>
      <c r="N87" s="250"/>
      <c r="O87" s="253"/>
      <c r="P87" s="253"/>
      <c r="Q87" s="253"/>
      <c r="R87" s="253"/>
      <c r="S87" s="253"/>
      <c r="T87" s="253"/>
      <c r="U87" s="94" t="s">
        <v>213</v>
      </c>
      <c r="V87" s="83"/>
      <c r="W87" s="95"/>
      <c r="X87" s="83" t="s">
        <v>38</v>
      </c>
      <c r="Y87" s="95">
        <v>15</v>
      </c>
      <c r="Z87" s="85"/>
      <c r="AA87" s="86"/>
      <c r="AB87" s="87">
        <v>0</v>
      </c>
      <c r="AC87" s="88">
        <f t="shared" si="1"/>
        <v>0</v>
      </c>
      <c r="AD87" s="241"/>
      <c r="AE87" s="241"/>
      <c r="AF87" s="86"/>
      <c r="AL87" s="132"/>
      <c r="AM87" s="135"/>
      <c r="AN87" s="135"/>
      <c r="AS87" s="135"/>
      <c r="AT87" s="135"/>
    </row>
    <row r="88" spans="1:46" s="90" customFormat="1" ht="33" customHeight="1">
      <c r="A88" s="257"/>
      <c r="B88" s="260"/>
      <c r="C88" s="263"/>
      <c r="D88" s="263"/>
      <c r="E88" s="263"/>
      <c r="F88" s="263"/>
      <c r="G88" s="302"/>
      <c r="H88" s="160"/>
      <c r="I88" s="310"/>
      <c r="J88" s="310"/>
      <c r="K88" s="310"/>
      <c r="L88" s="253"/>
      <c r="M88" s="247"/>
      <c r="N88" s="250"/>
      <c r="O88" s="253"/>
      <c r="P88" s="253"/>
      <c r="Q88" s="253"/>
      <c r="R88" s="253"/>
      <c r="S88" s="253"/>
      <c r="T88" s="253"/>
      <c r="U88" s="94" t="s">
        <v>214</v>
      </c>
      <c r="V88" s="83"/>
      <c r="W88" s="95"/>
      <c r="X88" s="83" t="s">
        <v>239</v>
      </c>
      <c r="Y88" s="95">
        <v>1.2</v>
      </c>
      <c r="Z88" s="85"/>
      <c r="AA88" s="86"/>
      <c r="AB88" s="87">
        <v>0</v>
      </c>
      <c r="AC88" s="88">
        <f t="shared" si="1"/>
        <v>0</v>
      </c>
      <c r="AD88" s="241"/>
      <c r="AE88" s="241"/>
      <c r="AF88" s="86"/>
      <c r="AL88" s="132"/>
      <c r="AM88" s="135"/>
      <c r="AN88" s="135"/>
      <c r="AS88" s="135"/>
      <c r="AT88" s="135"/>
    </row>
    <row r="89" spans="1:46" s="90" customFormat="1" ht="33" customHeight="1">
      <c r="A89" s="257"/>
      <c r="B89" s="260"/>
      <c r="C89" s="263"/>
      <c r="D89" s="263"/>
      <c r="E89" s="263"/>
      <c r="F89" s="263"/>
      <c r="G89" s="302"/>
      <c r="H89" s="160"/>
      <c r="I89" s="310"/>
      <c r="J89" s="310"/>
      <c r="K89" s="310"/>
      <c r="L89" s="253"/>
      <c r="M89" s="247"/>
      <c r="N89" s="250"/>
      <c r="O89" s="253"/>
      <c r="P89" s="253"/>
      <c r="Q89" s="253"/>
      <c r="R89" s="253"/>
      <c r="S89" s="253"/>
      <c r="T89" s="253"/>
      <c r="U89" s="102" t="s">
        <v>215</v>
      </c>
      <c r="V89" s="144"/>
      <c r="W89" s="160"/>
      <c r="X89" s="83" t="s">
        <v>38</v>
      </c>
      <c r="Y89" s="95">
        <v>44</v>
      </c>
      <c r="Z89" s="143"/>
      <c r="AA89" s="86"/>
      <c r="AB89" s="87">
        <v>0</v>
      </c>
      <c r="AC89" s="88">
        <f t="shared" si="1"/>
        <v>0</v>
      </c>
      <c r="AD89" s="241"/>
      <c r="AE89" s="241"/>
      <c r="AF89" s="86"/>
      <c r="AL89" s="132"/>
      <c r="AM89" s="135"/>
      <c r="AN89" s="135"/>
      <c r="AS89" s="135"/>
      <c r="AT89" s="135"/>
    </row>
    <row r="90" spans="1:46" s="90" customFormat="1" ht="33" customHeight="1">
      <c r="A90" s="258"/>
      <c r="B90" s="261"/>
      <c r="C90" s="264"/>
      <c r="D90" s="264"/>
      <c r="E90" s="264"/>
      <c r="F90" s="264"/>
      <c r="G90" s="308"/>
      <c r="H90" s="160"/>
      <c r="I90" s="311"/>
      <c r="J90" s="311"/>
      <c r="K90" s="311"/>
      <c r="L90" s="254"/>
      <c r="M90" s="248"/>
      <c r="N90" s="251"/>
      <c r="O90" s="254"/>
      <c r="P90" s="254"/>
      <c r="Q90" s="254"/>
      <c r="R90" s="254"/>
      <c r="S90" s="254"/>
      <c r="T90" s="254"/>
      <c r="U90" s="102" t="s">
        <v>216</v>
      </c>
      <c r="V90" s="144"/>
      <c r="W90" s="160"/>
      <c r="X90" s="83" t="s">
        <v>38</v>
      </c>
      <c r="Y90" s="95">
        <v>10</v>
      </c>
      <c r="Z90" s="85"/>
      <c r="AA90" s="86"/>
      <c r="AB90" s="87">
        <v>0</v>
      </c>
      <c r="AC90" s="88">
        <f t="shared" si="1"/>
        <v>0</v>
      </c>
      <c r="AD90" s="242"/>
      <c r="AE90" s="242"/>
      <c r="AF90" s="86"/>
      <c r="AL90" s="132" t="s">
        <v>171</v>
      </c>
      <c r="AM90" s="135"/>
      <c r="AN90" s="135"/>
      <c r="AS90" s="135"/>
      <c r="AT90" s="135"/>
    </row>
    <row r="91" spans="1:46" s="90" customFormat="1" ht="24" customHeight="1">
      <c r="A91" s="256">
        <v>7</v>
      </c>
      <c r="B91" s="259" t="s">
        <v>198</v>
      </c>
      <c r="C91" s="262">
        <v>64</v>
      </c>
      <c r="D91" s="262">
        <v>37</v>
      </c>
      <c r="E91" s="262">
        <v>599.79999999999995</v>
      </c>
      <c r="F91" s="262" t="s">
        <v>2</v>
      </c>
      <c r="G91" s="301">
        <v>600</v>
      </c>
      <c r="H91" s="301">
        <v>431.4</v>
      </c>
      <c r="I91" s="301">
        <f>E91-G91</f>
        <v>-0.20000000000004547</v>
      </c>
      <c r="J91" s="301">
        <f>G91+G99</f>
        <v>1162</v>
      </c>
      <c r="K91" s="301">
        <v>1162</v>
      </c>
      <c r="L91" s="262"/>
      <c r="M91" s="246">
        <f>J91/K91</f>
        <v>1</v>
      </c>
      <c r="N91" s="252">
        <f>IF(M91&lt;0.1,2,IF(M91&lt;0.2,3,IF(M91&lt;0.3,5,IF(M91&gt;=0.7,12,IF(M91&gt;=0.3,6)))))</f>
        <v>12</v>
      </c>
      <c r="O91" s="249">
        <v>4</v>
      </c>
      <c r="P91" s="249">
        <v>80000</v>
      </c>
      <c r="Q91" s="249">
        <f>J91*P91</f>
        <v>92960000</v>
      </c>
      <c r="R91" s="249">
        <f>Q91*3</f>
        <v>278880000</v>
      </c>
      <c r="S91" s="249">
        <f>N91*O91*S7</f>
        <v>24480000</v>
      </c>
      <c r="T91" s="249">
        <f>SUM(Q91:S97)</f>
        <v>396320000</v>
      </c>
      <c r="U91" s="82" t="s">
        <v>162</v>
      </c>
      <c r="V91" s="144">
        <v>25</v>
      </c>
      <c r="W91" s="160">
        <f>G91/V91</f>
        <v>24</v>
      </c>
      <c r="X91" s="144" t="s">
        <v>34</v>
      </c>
      <c r="Y91" s="84">
        <v>6</v>
      </c>
      <c r="Z91" s="143"/>
      <c r="AA91" s="144"/>
      <c r="AB91" s="87"/>
      <c r="AC91" s="88">
        <f t="shared" si="1"/>
        <v>0</v>
      </c>
      <c r="AD91" s="269">
        <f>SUM(AC91:AC102)</f>
        <v>131250000</v>
      </c>
      <c r="AE91" s="269">
        <f>T91+AD91</f>
        <v>527570000</v>
      </c>
      <c r="AF91" s="89" t="s">
        <v>51</v>
      </c>
      <c r="AL91" s="132" t="s">
        <v>171</v>
      </c>
      <c r="AM91" s="135">
        <v>33048001225</v>
      </c>
      <c r="AN91" s="135"/>
      <c r="AS91" s="135"/>
      <c r="AT91" s="135"/>
    </row>
    <row r="92" spans="1:46" s="90" customFormat="1" ht="24" customHeight="1">
      <c r="A92" s="257"/>
      <c r="B92" s="260"/>
      <c r="C92" s="263"/>
      <c r="D92" s="263"/>
      <c r="E92" s="263"/>
      <c r="F92" s="263"/>
      <c r="G92" s="302"/>
      <c r="H92" s="302"/>
      <c r="I92" s="302"/>
      <c r="J92" s="302"/>
      <c r="K92" s="302"/>
      <c r="L92" s="263"/>
      <c r="M92" s="247"/>
      <c r="N92" s="253"/>
      <c r="O92" s="250"/>
      <c r="P92" s="250"/>
      <c r="Q92" s="250"/>
      <c r="R92" s="250"/>
      <c r="S92" s="250"/>
      <c r="T92" s="250"/>
      <c r="U92" s="91" t="s">
        <v>158</v>
      </c>
      <c r="V92" s="144"/>
      <c r="W92" s="160"/>
      <c r="X92" s="144" t="s">
        <v>34</v>
      </c>
      <c r="Y92" s="84">
        <v>6</v>
      </c>
      <c r="Z92" s="143">
        <v>4500000</v>
      </c>
      <c r="AA92" s="144"/>
      <c r="AB92" s="87">
        <v>1</v>
      </c>
      <c r="AC92" s="88">
        <f t="shared" si="1"/>
        <v>27000000</v>
      </c>
      <c r="AD92" s="270"/>
      <c r="AE92" s="270"/>
      <c r="AF92" s="89"/>
      <c r="AL92" s="132"/>
      <c r="AM92" s="135"/>
      <c r="AN92" s="135"/>
      <c r="AS92" s="135"/>
      <c r="AT92" s="135"/>
    </row>
    <row r="93" spans="1:46" s="90" customFormat="1" ht="24" customHeight="1">
      <c r="A93" s="257"/>
      <c r="B93" s="260"/>
      <c r="C93" s="263"/>
      <c r="D93" s="263"/>
      <c r="E93" s="263"/>
      <c r="F93" s="263"/>
      <c r="G93" s="302"/>
      <c r="H93" s="302"/>
      <c r="I93" s="302"/>
      <c r="J93" s="302"/>
      <c r="K93" s="302"/>
      <c r="L93" s="263"/>
      <c r="M93" s="247"/>
      <c r="N93" s="253"/>
      <c r="O93" s="250"/>
      <c r="P93" s="250"/>
      <c r="Q93" s="250"/>
      <c r="R93" s="250"/>
      <c r="S93" s="250"/>
      <c r="T93" s="250"/>
      <c r="U93" s="100" t="s">
        <v>167</v>
      </c>
      <c r="V93" s="92"/>
      <c r="W93" s="93"/>
      <c r="X93" s="144" t="s">
        <v>34</v>
      </c>
      <c r="Y93" s="84">
        <v>10</v>
      </c>
      <c r="Z93" s="85"/>
      <c r="AA93" s="86"/>
      <c r="AB93" s="87"/>
      <c r="AC93" s="88">
        <f t="shared" si="1"/>
        <v>0</v>
      </c>
      <c r="AD93" s="270"/>
      <c r="AE93" s="270"/>
      <c r="AF93" s="89"/>
      <c r="AL93" s="132"/>
      <c r="AM93" s="135"/>
      <c r="AN93" s="135"/>
      <c r="AS93" s="135"/>
      <c r="AT93" s="135"/>
    </row>
    <row r="94" spans="1:46" s="90" customFormat="1" ht="24" customHeight="1">
      <c r="A94" s="257"/>
      <c r="B94" s="260"/>
      <c r="C94" s="263"/>
      <c r="D94" s="263"/>
      <c r="E94" s="263"/>
      <c r="F94" s="263"/>
      <c r="G94" s="302"/>
      <c r="H94" s="302"/>
      <c r="I94" s="302"/>
      <c r="J94" s="302"/>
      <c r="K94" s="302"/>
      <c r="L94" s="263"/>
      <c r="M94" s="247"/>
      <c r="N94" s="253"/>
      <c r="O94" s="250"/>
      <c r="P94" s="250"/>
      <c r="Q94" s="250"/>
      <c r="R94" s="250"/>
      <c r="S94" s="250"/>
      <c r="T94" s="250"/>
      <c r="U94" s="91" t="s">
        <v>158</v>
      </c>
      <c r="V94" s="92"/>
      <c r="W94" s="93"/>
      <c r="X94" s="144" t="s">
        <v>34</v>
      </c>
      <c r="Y94" s="84">
        <v>10</v>
      </c>
      <c r="Z94" s="143">
        <v>3850000</v>
      </c>
      <c r="AA94" s="86"/>
      <c r="AB94" s="87">
        <v>1</v>
      </c>
      <c r="AC94" s="88">
        <f t="shared" si="1"/>
        <v>38500000</v>
      </c>
      <c r="AD94" s="270"/>
      <c r="AE94" s="270"/>
      <c r="AF94" s="89"/>
      <c r="AL94" s="132"/>
      <c r="AM94" s="135"/>
      <c r="AN94" s="135"/>
      <c r="AS94" s="135"/>
      <c r="AT94" s="135"/>
    </row>
    <row r="95" spans="1:46" s="90" customFormat="1" ht="24" customHeight="1">
      <c r="A95" s="257"/>
      <c r="B95" s="260"/>
      <c r="C95" s="263"/>
      <c r="D95" s="263"/>
      <c r="E95" s="263"/>
      <c r="F95" s="263"/>
      <c r="G95" s="302"/>
      <c r="H95" s="302"/>
      <c r="I95" s="302"/>
      <c r="J95" s="302"/>
      <c r="K95" s="302"/>
      <c r="L95" s="263"/>
      <c r="M95" s="247"/>
      <c r="N95" s="253"/>
      <c r="O95" s="250"/>
      <c r="P95" s="250"/>
      <c r="Q95" s="250"/>
      <c r="R95" s="250"/>
      <c r="S95" s="250"/>
      <c r="T95" s="250"/>
      <c r="U95" s="100" t="s">
        <v>199</v>
      </c>
      <c r="V95" s="92">
        <v>20</v>
      </c>
      <c r="W95" s="93">
        <f>G91/V95</f>
        <v>30</v>
      </c>
      <c r="X95" s="144" t="s">
        <v>34</v>
      </c>
      <c r="Y95" s="84">
        <v>2</v>
      </c>
      <c r="Z95" s="143"/>
      <c r="AA95" s="144"/>
      <c r="AB95" s="87"/>
      <c r="AC95" s="88">
        <f t="shared" si="1"/>
        <v>0</v>
      </c>
      <c r="AD95" s="270"/>
      <c r="AE95" s="270"/>
      <c r="AF95" s="89"/>
      <c r="AL95" s="132" t="s">
        <v>171</v>
      </c>
      <c r="AM95" s="135"/>
      <c r="AN95" s="135"/>
      <c r="AS95" s="135"/>
      <c r="AT95" s="135"/>
    </row>
    <row r="96" spans="1:46" s="90" customFormat="1" ht="24" customHeight="1">
      <c r="A96" s="257"/>
      <c r="B96" s="260"/>
      <c r="C96" s="263"/>
      <c r="D96" s="263"/>
      <c r="E96" s="263"/>
      <c r="F96" s="263"/>
      <c r="G96" s="302"/>
      <c r="H96" s="302"/>
      <c r="I96" s="302"/>
      <c r="J96" s="302"/>
      <c r="K96" s="302"/>
      <c r="L96" s="264"/>
      <c r="M96" s="247"/>
      <c r="N96" s="253"/>
      <c r="O96" s="250"/>
      <c r="P96" s="250"/>
      <c r="Q96" s="250"/>
      <c r="R96" s="250"/>
      <c r="S96" s="250"/>
      <c r="T96" s="250"/>
      <c r="U96" s="91" t="s">
        <v>158</v>
      </c>
      <c r="V96" s="144"/>
      <c r="W96" s="160"/>
      <c r="X96" s="144" t="s">
        <v>34</v>
      </c>
      <c r="Y96" s="84">
        <v>2</v>
      </c>
      <c r="Z96" s="143">
        <v>3000000</v>
      </c>
      <c r="AA96" s="144"/>
      <c r="AB96" s="87">
        <v>0.5</v>
      </c>
      <c r="AC96" s="88">
        <f t="shared" si="1"/>
        <v>3000000</v>
      </c>
      <c r="AD96" s="270"/>
      <c r="AE96" s="270"/>
      <c r="AF96" s="89"/>
      <c r="AL96" s="132" t="s">
        <v>171</v>
      </c>
      <c r="AM96" s="135"/>
      <c r="AN96" s="135"/>
      <c r="AS96" s="135"/>
      <c r="AT96" s="135"/>
    </row>
    <row r="97" spans="1:46" s="90" customFormat="1" ht="33.75" customHeight="1">
      <c r="A97" s="257"/>
      <c r="B97" s="260"/>
      <c r="C97" s="263"/>
      <c r="D97" s="263"/>
      <c r="E97" s="263"/>
      <c r="F97" s="263"/>
      <c r="G97" s="302"/>
      <c r="H97" s="302"/>
      <c r="I97" s="302"/>
      <c r="J97" s="302"/>
      <c r="K97" s="302"/>
      <c r="L97" s="144"/>
      <c r="M97" s="247"/>
      <c r="N97" s="253"/>
      <c r="O97" s="250"/>
      <c r="P97" s="250"/>
      <c r="Q97" s="250"/>
      <c r="R97" s="250"/>
      <c r="S97" s="250"/>
      <c r="T97" s="250"/>
      <c r="U97" s="82" t="s">
        <v>174</v>
      </c>
      <c r="V97" s="144">
        <v>4</v>
      </c>
      <c r="W97" s="160">
        <f>G91/V97</f>
        <v>150</v>
      </c>
      <c r="X97" s="144" t="s">
        <v>49</v>
      </c>
      <c r="Y97" s="84">
        <v>20</v>
      </c>
      <c r="Z97" s="143"/>
      <c r="AA97" s="144"/>
      <c r="AB97" s="87"/>
      <c r="AC97" s="88">
        <f t="shared" si="1"/>
        <v>0</v>
      </c>
      <c r="AD97" s="270"/>
      <c r="AE97" s="270"/>
      <c r="AF97" s="89"/>
      <c r="AG97" s="143"/>
      <c r="AL97" s="132" t="s">
        <v>171</v>
      </c>
      <c r="AM97" s="135"/>
      <c r="AN97" s="135"/>
      <c r="AS97" s="135"/>
      <c r="AT97" s="135"/>
    </row>
    <row r="98" spans="1:46" s="90" customFormat="1" ht="24" customHeight="1">
      <c r="A98" s="257"/>
      <c r="B98" s="260"/>
      <c r="C98" s="263"/>
      <c r="D98" s="263"/>
      <c r="E98" s="263"/>
      <c r="F98" s="263"/>
      <c r="G98" s="302"/>
      <c r="H98" s="302"/>
      <c r="I98" s="302"/>
      <c r="J98" s="302"/>
      <c r="K98" s="302"/>
      <c r="L98" s="146"/>
      <c r="M98" s="247"/>
      <c r="N98" s="253"/>
      <c r="O98" s="250"/>
      <c r="P98" s="250"/>
      <c r="Q98" s="250"/>
      <c r="R98" s="250"/>
      <c r="S98" s="250"/>
      <c r="T98" s="250"/>
      <c r="U98" s="91" t="s">
        <v>158</v>
      </c>
      <c r="V98" s="92"/>
      <c r="W98" s="93"/>
      <c r="X98" s="144" t="s">
        <v>49</v>
      </c>
      <c r="Y98" s="84">
        <v>20</v>
      </c>
      <c r="Z98" s="143">
        <v>200000</v>
      </c>
      <c r="AA98" s="144"/>
      <c r="AB98" s="87">
        <v>0.5</v>
      </c>
      <c r="AC98" s="88">
        <f t="shared" si="1"/>
        <v>2000000</v>
      </c>
      <c r="AD98" s="270"/>
      <c r="AE98" s="270"/>
      <c r="AF98" s="89"/>
      <c r="AL98" s="132" t="s">
        <v>171</v>
      </c>
      <c r="AM98" s="135"/>
      <c r="AN98" s="135"/>
      <c r="AS98" s="135"/>
      <c r="AT98" s="135"/>
    </row>
    <row r="99" spans="1:46" s="90" customFormat="1" ht="24" customHeight="1">
      <c r="A99" s="257"/>
      <c r="B99" s="260"/>
      <c r="C99" s="263"/>
      <c r="D99" s="262">
        <v>717</v>
      </c>
      <c r="E99" s="262">
        <v>562</v>
      </c>
      <c r="F99" s="262" t="s">
        <v>2</v>
      </c>
      <c r="G99" s="301">
        <v>562</v>
      </c>
      <c r="H99" s="301">
        <v>431.4</v>
      </c>
      <c r="I99" s="301">
        <f>E99-G99</f>
        <v>0</v>
      </c>
      <c r="J99" s="302"/>
      <c r="K99" s="302"/>
      <c r="L99" s="146"/>
      <c r="M99" s="247"/>
      <c r="N99" s="253"/>
      <c r="O99" s="250"/>
      <c r="P99" s="250"/>
      <c r="Q99" s="250"/>
      <c r="R99" s="250"/>
      <c r="S99" s="250"/>
      <c r="T99" s="250"/>
      <c r="U99" s="82" t="s">
        <v>217</v>
      </c>
      <c r="V99" s="144">
        <v>16</v>
      </c>
      <c r="W99" s="160">
        <f>G99/V99</f>
        <v>35.125</v>
      </c>
      <c r="X99" s="144" t="s">
        <v>34</v>
      </c>
      <c r="Y99" s="84">
        <v>180</v>
      </c>
      <c r="Z99" s="143"/>
      <c r="AA99" s="144"/>
      <c r="AB99" s="87"/>
      <c r="AC99" s="88">
        <f t="shared" si="1"/>
        <v>0</v>
      </c>
      <c r="AD99" s="270"/>
      <c r="AE99" s="270"/>
      <c r="AF99" s="89" t="s">
        <v>159</v>
      </c>
      <c r="AL99" s="132" t="s">
        <v>171</v>
      </c>
      <c r="AM99" s="135"/>
      <c r="AN99" s="135"/>
      <c r="AS99" s="135"/>
      <c r="AT99" s="135"/>
    </row>
    <row r="100" spans="1:46" s="90" customFormat="1" ht="24" customHeight="1">
      <c r="A100" s="257"/>
      <c r="B100" s="260"/>
      <c r="C100" s="263"/>
      <c r="D100" s="263"/>
      <c r="E100" s="263"/>
      <c r="F100" s="263"/>
      <c r="G100" s="302"/>
      <c r="H100" s="302"/>
      <c r="I100" s="302"/>
      <c r="J100" s="302"/>
      <c r="K100" s="302"/>
      <c r="L100" s="146"/>
      <c r="M100" s="247"/>
      <c r="N100" s="253"/>
      <c r="O100" s="250"/>
      <c r="P100" s="250"/>
      <c r="Q100" s="250"/>
      <c r="R100" s="250"/>
      <c r="S100" s="250"/>
      <c r="T100" s="250"/>
      <c r="U100" s="91" t="s">
        <v>158</v>
      </c>
      <c r="V100" s="144"/>
      <c r="W100" s="160"/>
      <c r="X100" s="144" t="s">
        <v>34</v>
      </c>
      <c r="Y100" s="84">
        <v>35</v>
      </c>
      <c r="Z100" s="85">
        <v>1500000</v>
      </c>
      <c r="AA100" s="144"/>
      <c r="AB100" s="87">
        <v>1</v>
      </c>
      <c r="AC100" s="88">
        <f t="shared" si="1"/>
        <v>52500000</v>
      </c>
      <c r="AD100" s="270"/>
      <c r="AE100" s="270"/>
      <c r="AF100" s="89"/>
      <c r="AL100" s="132" t="s">
        <v>171</v>
      </c>
      <c r="AM100" s="135"/>
      <c r="AN100" s="135"/>
      <c r="AS100" s="135"/>
      <c r="AT100" s="135"/>
    </row>
    <row r="101" spans="1:46" s="90" customFormat="1" ht="24" customHeight="1">
      <c r="A101" s="257"/>
      <c r="B101" s="260"/>
      <c r="C101" s="263"/>
      <c r="D101" s="263"/>
      <c r="E101" s="263"/>
      <c r="F101" s="263"/>
      <c r="G101" s="302"/>
      <c r="H101" s="302"/>
      <c r="I101" s="302"/>
      <c r="J101" s="302"/>
      <c r="K101" s="302"/>
      <c r="L101" s="146"/>
      <c r="M101" s="247"/>
      <c r="N101" s="253"/>
      <c r="O101" s="250"/>
      <c r="P101" s="250"/>
      <c r="Q101" s="250"/>
      <c r="R101" s="250"/>
      <c r="S101" s="250"/>
      <c r="T101" s="250"/>
      <c r="U101" s="91" t="s">
        <v>164</v>
      </c>
      <c r="V101" s="92"/>
      <c r="W101" s="93">
        <f>W99*0.3</f>
        <v>10.5375</v>
      </c>
      <c r="X101" s="144" t="s">
        <v>34</v>
      </c>
      <c r="Y101" s="84">
        <v>11</v>
      </c>
      <c r="Z101" s="85">
        <v>1500000</v>
      </c>
      <c r="AA101" s="86"/>
      <c r="AB101" s="87">
        <v>0.5</v>
      </c>
      <c r="AC101" s="88">
        <f t="shared" si="1"/>
        <v>8250000</v>
      </c>
      <c r="AD101" s="270"/>
      <c r="AE101" s="270"/>
      <c r="AF101" s="89"/>
      <c r="AL101" s="132"/>
      <c r="AM101" s="135"/>
      <c r="AN101" s="135"/>
      <c r="AS101" s="135"/>
      <c r="AT101" s="135"/>
    </row>
    <row r="102" spans="1:46" s="90" customFormat="1" ht="24" customHeight="1">
      <c r="A102" s="258"/>
      <c r="B102" s="261"/>
      <c r="C102" s="264"/>
      <c r="D102" s="264"/>
      <c r="E102" s="264"/>
      <c r="F102" s="264"/>
      <c r="G102" s="308"/>
      <c r="H102" s="308"/>
      <c r="I102" s="308"/>
      <c r="J102" s="308"/>
      <c r="K102" s="308"/>
      <c r="L102" s="144"/>
      <c r="M102" s="248"/>
      <c r="N102" s="254"/>
      <c r="O102" s="251"/>
      <c r="P102" s="251"/>
      <c r="Q102" s="251"/>
      <c r="R102" s="251"/>
      <c r="S102" s="251"/>
      <c r="T102" s="251"/>
      <c r="U102" s="91" t="s">
        <v>165</v>
      </c>
      <c r="V102" s="144"/>
      <c r="W102" s="160"/>
      <c r="X102" s="144" t="s">
        <v>34</v>
      </c>
      <c r="Y102" s="84">
        <v>134</v>
      </c>
      <c r="Z102" s="85">
        <v>1500000</v>
      </c>
      <c r="AA102" s="144"/>
      <c r="AB102" s="87">
        <v>0</v>
      </c>
      <c r="AC102" s="88">
        <f t="shared" si="1"/>
        <v>0</v>
      </c>
      <c r="AD102" s="270"/>
      <c r="AE102" s="270"/>
      <c r="AF102" s="89"/>
      <c r="AL102" s="132" t="s">
        <v>171</v>
      </c>
      <c r="AM102" s="135"/>
      <c r="AN102" s="135"/>
      <c r="AS102" s="135"/>
      <c r="AT102" s="135"/>
    </row>
    <row r="103" spans="1:46" s="110" customFormat="1" ht="34.5" customHeight="1">
      <c r="A103" s="152"/>
      <c r="B103" s="153" t="s">
        <v>53</v>
      </c>
      <c r="C103" s="154"/>
      <c r="D103" s="154"/>
      <c r="E103" s="154"/>
      <c r="F103" s="154"/>
      <c r="G103" s="104"/>
      <c r="H103" s="104"/>
      <c r="I103" s="168"/>
      <c r="J103" s="169"/>
      <c r="K103" s="169"/>
      <c r="L103" s="152"/>
      <c r="M103" s="106"/>
      <c r="N103" s="142"/>
      <c r="O103" s="142"/>
      <c r="P103" s="142"/>
      <c r="Q103" s="142"/>
      <c r="R103" s="142"/>
      <c r="S103" s="142"/>
      <c r="T103" s="156"/>
      <c r="U103" s="107"/>
      <c r="V103" s="67"/>
      <c r="W103" s="78"/>
      <c r="X103" s="67"/>
      <c r="Y103" s="71"/>
      <c r="Z103" s="69"/>
      <c r="AA103" s="67"/>
      <c r="AB103" s="108"/>
      <c r="AC103" s="88">
        <f t="shared" si="1"/>
        <v>0</v>
      </c>
      <c r="AD103" s="142"/>
      <c r="AE103" s="156"/>
      <c r="AF103" s="109"/>
      <c r="AL103" s="132" t="s">
        <v>171</v>
      </c>
      <c r="AM103" s="136"/>
      <c r="AN103" s="136"/>
      <c r="AS103" s="136"/>
      <c r="AT103" s="136"/>
    </row>
    <row r="104" spans="1:46" s="90" customFormat="1" ht="21.95" customHeight="1">
      <c r="A104" s="256">
        <v>8</v>
      </c>
      <c r="B104" s="271" t="s">
        <v>218</v>
      </c>
      <c r="C104" s="262">
        <v>62</v>
      </c>
      <c r="D104" s="262">
        <v>269</v>
      </c>
      <c r="E104" s="262">
        <v>1094.0999999999999</v>
      </c>
      <c r="F104" s="262" t="s">
        <v>2</v>
      </c>
      <c r="G104" s="301">
        <v>1080</v>
      </c>
      <c r="H104" s="160"/>
      <c r="I104" s="309">
        <f>E104-G104</f>
        <v>14.099999999999909</v>
      </c>
      <c r="J104" s="309">
        <f>G104</f>
        <v>1080</v>
      </c>
      <c r="K104" s="309">
        <v>1080</v>
      </c>
      <c r="L104" s="86"/>
      <c r="M104" s="246">
        <f>J104/K104</f>
        <v>1</v>
      </c>
      <c r="N104" s="249">
        <f>IF(M104&lt;0.1,2,IF(M104&lt;0.2,3,IF(M104&lt;0.3,5,IF(M104&gt;=0.7,12,IF(M104&gt;=0.3,6)))))</f>
        <v>12</v>
      </c>
      <c r="O104" s="252">
        <v>4</v>
      </c>
      <c r="P104" s="252">
        <v>80000</v>
      </c>
      <c r="Q104" s="252">
        <f>J104*P104</f>
        <v>86400000</v>
      </c>
      <c r="R104" s="252">
        <f>Q104*3</f>
        <v>259200000</v>
      </c>
      <c r="S104" s="321">
        <f>N104*O104*S7</f>
        <v>24480000</v>
      </c>
      <c r="T104" s="255">
        <f>SUM(Q104:S108)</f>
        <v>370080000</v>
      </c>
      <c r="U104" s="82" t="s">
        <v>162</v>
      </c>
      <c r="V104" s="144">
        <v>25</v>
      </c>
      <c r="W104" s="160">
        <f>G104/V104</f>
        <v>43.2</v>
      </c>
      <c r="X104" s="144" t="s">
        <v>34</v>
      </c>
      <c r="Y104" s="84">
        <v>27</v>
      </c>
      <c r="Z104" s="143"/>
      <c r="AA104" s="144"/>
      <c r="AB104" s="87"/>
      <c r="AC104" s="88">
        <f t="shared" si="1"/>
        <v>0</v>
      </c>
      <c r="AD104" s="240">
        <f>AC104+AC105+AC106+AC107+AC108</f>
        <v>160000000</v>
      </c>
      <c r="AE104" s="240">
        <f>T104+AD104</f>
        <v>530080000</v>
      </c>
      <c r="AF104" s="99" t="s">
        <v>220</v>
      </c>
      <c r="AL104" s="132" t="s">
        <v>171</v>
      </c>
      <c r="AM104" s="135"/>
      <c r="AN104" s="135"/>
      <c r="AS104" s="135"/>
      <c r="AT104" s="135"/>
    </row>
    <row r="105" spans="1:46" s="90" customFormat="1" ht="21.95" customHeight="1">
      <c r="A105" s="257"/>
      <c r="B105" s="272"/>
      <c r="C105" s="263"/>
      <c r="D105" s="263"/>
      <c r="E105" s="263"/>
      <c r="F105" s="263"/>
      <c r="G105" s="302"/>
      <c r="H105" s="160"/>
      <c r="I105" s="310"/>
      <c r="J105" s="310"/>
      <c r="K105" s="310"/>
      <c r="L105" s="86"/>
      <c r="M105" s="247"/>
      <c r="N105" s="250"/>
      <c r="O105" s="253"/>
      <c r="P105" s="253"/>
      <c r="Q105" s="253"/>
      <c r="R105" s="253"/>
      <c r="S105" s="322"/>
      <c r="T105" s="255"/>
      <c r="U105" s="91" t="s">
        <v>158</v>
      </c>
      <c r="V105" s="144"/>
      <c r="W105" s="160"/>
      <c r="X105" s="144" t="s">
        <v>34</v>
      </c>
      <c r="Y105" s="84">
        <v>27</v>
      </c>
      <c r="Z105" s="143">
        <v>4500000</v>
      </c>
      <c r="AA105" s="144"/>
      <c r="AB105" s="87">
        <v>1</v>
      </c>
      <c r="AC105" s="88">
        <f t="shared" si="1"/>
        <v>121500000</v>
      </c>
      <c r="AD105" s="241"/>
      <c r="AE105" s="241"/>
      <c r="AF105" s="86"/>
      <c r="AL105" s="132" t="s">
        <v>171</v>
      </c>
      <c r="AM105" s="135"/>
      <c r="AN105" s="135"/>
      <c r="AS105" s="135"/>
      <c r="AT105" s="135"/>
    </row>
    <row r="106" spans="1:46" s="90" customFormat="1" ht="21.95" customHeight="1">
      <c r="A106" s="257"/>
      <c r="B106" s="272"/>
      <c r="C106" s="263"/>
      <c r="D106" s="263"/>
      <c r="E106" s="263"/>
      <c r="F106" s="263"/>
      <c r="G106" s="302"/>
      <c r="H106" s="160"/>
      <c r="I106" s="310"/>
      <c r="J106" s="310"/>
      <c r="K106" s="310"/>
      <c r="L106" s="86"/>
      <c r="M106" s="247"/>
      <c r="N106" s="250"/>
      <c r="O106" s="253"/>
      <c r="P106" s="253"/>
      <c r="Q106" s="253"/>
      <c r="R106" s="253"/>
      <c r="S106" s="322"/>
      <c r="T106" s="255"/>
      <c r="U106" s="100" t="s">
        <v>167</v>
      </c>
      <c r="V106" s="92"/>
      <c r="W106" s="93"/>
      <c r="X106" s="144" t="s">
        <v>34</v>
      </c>
      <c r="Y106" s="84">
        <v>10</v>
      </c>
      <c r="Z106" s="143"/>
      <c r="AA106" s="86"/>
      <c r="AB106" s="87"/>
      <c r="AC106" s="88">
        <f t="shared" si="1"/>
        <v>0</v>
      </c>
      <c r="AD106" s="241"/>
      <c r="AE106" s="241"/>
      <c r="AF106" s="86"/>
      <c r="AL106" s="132" t="s">
        <v>171</v>
      </c>
      <c r="AM106" s="135"/>
      <c r="AN106" s="135"/>
      <c r="AS106" s="135"/>
      <c r="AT106" s="135"/>
    </row>
    <row r="107" spans="1:46" s="90" customFormat="1" ht="21.95" customHeight="1">
      <c r="A107" s="257"/>
      <c r="B107" s="272"/>
      <c r="C107" s="263"/>
      <c r="D107" s="263"/>
      <c r="E107" s="263"/>
      <c r="F107" s="263"/>
      <c r="G107" s="302"/>
      <c r="H107" s="160"/>
      <c r="I107" s="310"/>
      <c r="J107" s="310"/>
      <c r="K107" s="310"/>
      <c r="L107" s="86"/>
      <c r="M107" s="247"/>
      <c r="N107" s="250"/>
      <c r="O107" s="253"/>
      <c r="P107" s="253"/>
      <c r="Q107" s="253"/>
      <c r="R107" s="253"/>
      <c r="S107" s="322"/>
      <c r="T107" s="255"/>
      <c r="U107" s="91" t="s">
        <v>158</v>
      </c>
      <c r="V107" s="92"/>
      <c r="W107" s="93"/>
      <c r="X107" s="144" t="s">
        <v>34</v>
      </c>
      <c r="Y107" s="84">
        <v>10</v>
      </c>
      <c r="Z107" s="143">
        <v>3850000</v>
      </c>
      <c r="AA107" s="86"/>
      <c r="AB107" s="87">
        <v>1</v>
      </c>
      <c r="AC107" s="88">
        <f t="shared" si="1"/>
        <v>38500000</v>
      </c>
      <c r="AD107" s="241"/>
      <c r="AE107" s="241"/>
      <c r="AF107" s="86"/>
      <c r="AL107" s="132"/>
      <c r="AM107" s="135"/>
      <c r="AN107" s="135"/>
      <c r="AS107" s="135"/>
      <c r="AT107" s="135"/>
    </row>
    <row r="108" spans="1:46" s="90" customFormat="1" ht="49.5" customHeight="1">
      <c r="A108" s="258"/>
      <c r="B108" s="273"/>
      <c r="C108" s="264"/>
      <c r="D108" s="264"/>
      <c r="E108" s="264"/>
      <c r="F108" s="264"/>
      <c r="G108" s="308"/>
      <c r="H108" s="160"/>
      <c r="I108" s="311"/>
      <c r="J108" s="311"/>
      <c r="K108" s="311"/>
      <c r="L108" s="86"/>
      <c r="M108" s="248"/>
      <c r="N108" s="251"/>
      <c r="O108" s="254"/>
      <c r="P108" s="254"/>
      <c r="Q108" s="254"/>
      <c r="R108" s="254"/>
      <c r="S108" s="323"/>
      <c r="T108" s="268"/>
      <c r="U108" s="99" t="s">
        <v>236</v>
      </c>
      <c r="V108" s="92"/>
      <c r="W108" s="93"/>
      <c r="X108" s="83" t="s">
        <v>38</v>
      </c>
      <c r="Y108" s="95">
        <v>278.72000000000003</v>
      </c>
      <c r="Z108" s="143"/>
      <c r="AA108" s="86"/>
      <c r="AB108" s="87">
        <v>0</v>
      </c>
      <c r="AC108" s="88">
        <f t="shared" si="1"/>
        <v>0</v>
      </c>
      <c r="AD108" s="242"/>
      <c r="AE108" s="242"/>
      <c r="AF108" s="86"/>
      <c r="AL108" s="132" t="s">
        <v>171</v>
      </c>
      <c r="AM108" s="135"/>
      <c r="AN108" s="135"/>
      <c r="AS108" s="135"/>
      <c r="AT108" s="135"/>
    </row>
    <row r="109" spans="1:46" s="90" customFormat="1" ht="36" customHeight="1">
      <c r="A109" s="256">
        <v>9</v>
      </c>
      <c r="B109" s="259" t="s">
        <v>219</v>
      </c>
      <c r="C109" s="262">
        <v>64</v>
      </c>
      <c r="D109" s="262">
        <v>105</v>
      </c>
      <c r="E109" s="262">
        <v>467.7</v>
      </c>
      <c r="F109" s="262" t="s">
        <v>2</v>
      </c>
      <c r="G109" s="301">
        <v>612</v>
      </c>
      <c r="H109" s="160"/>
      <c r="I109" s="309"/>
      <c r="J109" s="309">
        <v>467.7</v>
      </c>
      <c r="K109" s="309">
        <v>612</v>
      </c>
      <c r="L109" s="86"/>
      <c r="M109" s="246">
        <f>J109/K109</f>
        <v>0.76421568627450975</v>
      </c>
      <c r="N109" s="249">
        <f>IF(M109&lt;0.1,2,IF(M109&lt;0.2,3,IF(M109&lt;0.3,5,IF(M109&gt;=0.7,12,IF(M109&gt;=0.3,6)))))</f>
        <v>12</v>
      </c>
      <c r="O109" s="252">
        <v>3</v>
      </c>
      <c r="P109" s="252">
        <v>80000</v>
      </c>
      <c r="Q109" s="252">
        <f>J109*P109</f>
        <v>37416000</v>
      </c>
      <c r="R109" s="252">
        <f>Q109*3</f>
        <v>112248000</v>
      </c>
      <c r="S109" s="252">
        <f>N109*O109*S7</f>
        <v>18360000</v>
      </c>
      <c r="T109" s="255">
        <f>SUM(Q109:S111)</f>
        <v>168024000</v>
      </c>
      <c r="U109" s="82" t="s">
        <v>175</v>
      </c>
      <c r="V109" s="144"/>
      <c r="W109" s="160"/>
      <c r="X109" s="83" t="s">
        <v>38</v>
      </c>
      <c r="Y109" s="84">
        <v>467.7</v>
      </c>
      <c r="Z109" s="85">
        <v>180000</v>
      </c>
      <c r="AA109" s="86"/>
      <c r="AB109" s="87">
        <v>1</v>
      </c>
      <c r="AC109" s="88">
        <f t="shared" si="1"/>
        <v>84186000</v>
      </c>
      <c r="AD109" s="240">
        <f>AC109+AC110+AC111</f>
        <v>84186000</v>
      </c>
      <c r="AE109" s="240">
        <f>T109+AD109</f>
        <v>252210000</v>
      </c>
      <c r="AF109" s="99"/>
      <c r="AL109" s="132" t="s">
        <v>171</v>
      </c>
      <c r="AM109" s="135"/>
      <c r="AN109" s="135"/>
      <c r="AS109" s="135"/>
      <c r="AT109" s="135"/>
    </row>
    <row r="110" spans="1:46" s="90" customFormat="1" ht="37.5" customHeight="1">
      <c r="A110" s="257"/>
      <c r="B110" s="260"/>
      <c r="C110" s="263"/>
      <c r="D110" s="263"/>
      <c r="E110" s="263"/>
      <c r="F110" s="263"/>
      <c r="G110" s="302"/>
      <c r="H110" s="160"/>
      <c r="I110" s="310"/>
      <c r="J110" s="310"/>
      <c r="K110" s="310"/>
      <c r="L110" s="86"/>
      <c r="M110" s="247"/>
      <c r="N110" s="250"/>
      <c r="O110" s="253"/>
      <c r="P110" s="253"/>
      <c r="Q110" s="253"/>
      <c r="R110" s="253"/>
      <c r="S110" s="253"/>
      <c r="T110" s="255"/>
      <c r="U110" s="94" t="s">
        <v>163</v>
      </c>
      <c r="V110" s="144"/>
      <c r="W110" s="160"/>
      <c r="X110" s="83" t="s">
        <v>36</v>
      </c>
      <c r="Y110" s="95">
        <v>1</v>
      </c>
      <c r="Z110" s="143"/>
      <c r="AA110" s="144"/>
      <c r="AB110" s="87">
        <v>0</v>
      </c>
      <c r="AC110" s="88">
        <f t="shared" si="1"/>
        <v>0</v>
      </c>
      <c r="AD110" s="241"/>
      <c r="AE110" s="241"/>
      <c r="AF110" s="86"/>
      <c r="AL110" s="132" t="s">
        <v>171</v>
      </c>
      <c r="AM110" s="135"/>
      <c r="AN110" s="135"/>
      <c r="AS110" s="135"/>
      <c r="AT110" s="135"/>
    </row>
    <row r="111" spans="1:46" s="90" customFormat="1" ht="37.5" customHeight="1">
      <c r="A111" s="258"/>
      <c r="B111" s="261"/>
      <c r="C111" s="264"/>
      <c r="D111" s="264"/>
      <c r="E111" s="264"/>
      <c r="F111" s="264"/>
      <c r="G111" s="308"/>
      <c r="H111" s="160"/>
      <c r="I111" s="311"/>
      <c r="J111" s="311"/>
      <c r="K111" s="311"/>
      <c r="L111" s="86"/>
      <c r="M111" s="248"/>
      <c r="N111" s="251"/>
      <c r="O111" s="254"/>
      <c r="P111" s="254"/>
      <c r="Q111" s="254"/>
      <c r="R111" s="254"/>
      <c r="S111" s="254"/>
      <c r="T111" s="255"/>
      <c r="U111" s="158" t="s">
        <v>237</v>
      </c>
      <c r="V111" s="92"/>
      <c r="W111" s="93"/>
      <c r="X111" s="83" t="s">
        <v>38</v>
      </c>
      <c r="Y111" s="95">
        <v>29.9</v>
      </c>
      <c r="Z111" s="143"/>
      <c r="AA111" s="86"/>
      <c r="AB111" s="87">
        <v>0</v>
      </c>
      <c r="AC111" s="88">
        <f t="shared" si="1"/>
        <v>0</v>
      </c>
      <c r="AD111" s="242"/>
      <c r="AE111" s="242"/>
      <c r="AF111" s="86"/>
      <c r="AL111" s="132" t="s">
        <v>171</v>
      </c>
      <c r="AM111" s="135"/>
      <c r="AN111" s="135"/>
      <c r="AS111" s="135"/>
      <c r="AT111" s="135"/>
    </row>
    <row r="112" spans="1:46" s="90" customFormat="1" ht="28.5" customHeight="1">
      <c r="A112" s="256">
        <v>10</v>
      </c>
      <c r="B112" s="259" t="s">
        <v>221</v>
      </c>
      <c r="C112" s="262">
        <v>64</v>
      </c>
      <c r="D112" s="262">
        <v>109</v>
      </c>
      <c r="E112" s="262">
        <v>218.2</v>
      </c>
      <c r="F112" s="262" t="s">
        <v>2</v>
      </c>
      <c r="G112" s="301">
        <v>324</v>
      </c>
      <c r="H112" s="160"/>
      <c r="I112" s="309"/>
      <c r="J112" s="309">
        <v>218.2</v>
      </c>
      <c r="K112" s="309">
        <v>2134</v>
      </c>
      <c r="L112" s="86"/>
      <c r="M112" s="246">
        <f>J112/K112</f>
        <v>0.10224929709465791</v>
      </c>
      <c r="N112" s="249">
        <f>IF(M112&lt;0.1,2,IF(M112&lt;0.2,3,IF(M112&lt;0.3,5,IF(M112&gt;=0.7,12,IF(M112&gt;=0.3,6)))))</f>
        <v>3</v>
      </c>
      <c r="O112" s="252">
        <v>7</v>
      </c>
      <c r="P112" s="252">
        <v>80000</v>
      </c>
      <c r="Q112" s="252">
        <f>J112*P112</f>
        <v>17456000</v>
      </c>
      <c r="R112" s="252">
        <f>Q112*3</f>
        <v>52368000</v>
      </c>
      <c r="S112" s="252">
        <f>N112*O112*S7</f>
        <v>10710000</v>
      </c>
      <c r="T112" s="255">
        <f>SUM(Q112:S118)</f>
        <v>80534000</v>
      </c>
      <c r="U112" s="100" t="s">
        <v>245</v>
      </c>
      <c r="V112" s="92">
        <v>20</v>
      </c>
      <c r="W112" s="93">
        <f>J112/V112</f>
        <v>10.91</v>
      </c>
      <c r="X112" s="144" t="s">
        <v>34</v>
      </c>
      <c r="Y112" s="84">
        <v>20</v>
      </c>
      <c r="Z112" s="143"/>
      <c r="AA112" s="144"/>
      <c r="AB112" s="87"/>
      <c r="AC112" s="88">
        <f t="shared" si="1"/>
        <v>0</v>
      </c>
      <c r="AD112" s="240">
        <f>AC113+AC112+AC114+AC115+AC116+AC117+AC118</f>
        <v>37500000</v>
      </c>
      <c r="AE112" s="240">
        <f>T112+AD112</f>
        <v>118034000</v>
      </c>
      <c r="AF112" s="99" t="s">
        <v>222</v>
      </c>
      <c r="AL112" s="132" t="s">
        <v>171</v>
      </c>
      <c r="AM112" s="135"/>
      <c r="AN112" s="135"/>
      <c r="AS112" s="135"/>
      <c r="AT112" s="135"/>
    </row>
    <row r="113" spans="1:46" s="90" customFormat="1" ht="28.5" customHeight="1">
      <c r="A113" s="257"/>
      <c r="B113" s="260"/>
      <c r="C113" s="263"/>
      <c r="D113" s="263"/>
      <c r="E113" s="263"/>
      <c r="F113" s="263"/>
      <c r="G113" s="302"/>
      <c r="H113" s="160"/>
      <c r="I113" s="310"/>
      <c r="J113" s="310"/>
      <c r="K113" s="310"/>
      <c r="L113" s="86"/>
      <c r="M113" s="247"/>
      <c r="N113" s="250"/>
      <c r="O113" s="253"/>
      <c r="P113" s="253"/>
      <c r="Q113" s="253"/>
      <c r="R113" s="253"/>
      <c r="S113" s="253"/>
      <c r="T113" s="255"/>
      <c r="U113" s="91" t="s">
        <v>158</v>
      </c>
      <c r="V113" s="144"/>
      <c r="W113" s="160"/>
      <c r="X113" s="144" t="s">
        <v>34</v>
      </c>
      <c r="Y113" s="84">
        <v>11</v>
      </c>
      <c r="Z113" s="143">
        <v>3000000</v>
      </c>
      <c r="AA113" s="86"/>
      <c r="AB113" s="87">
        <v>1</v>
      </c>
      <c r="AC113" s="88">
        <f t="shared" si="1"/>
        <v>33000000</v>
      </c>
      <c r="AD113" s="241"/>
      <c r="AE113" s="241"/>
      <c r="AF113" s="86"/>
      <c r="AL113" s="132" t="s">
        <v>171</v>
      </c>
      <c r="AM113" s="135"/>
      <c r="AN113" s="135"/>
      <c r="AS113" s="135"/>
      <c r="AT113" s="135"/>
    </row>
    <row r="114" spans="1:46" s="90" customFormat="1" ht="28.5" customHeight="1">
      <c r="A114" s="257"/>
      <c r="B114" s="260"/>
      <c r="C114" s="263"/>
      <c r="D114" s="263"/>
      <c r="E114" s="263"/>
      <c r="F114" s="263"/>
      <c r="G114" s="302"/>
      <c r="H114" s="160"/>
      <c r="I114" s="310"/>
      <c r="J114" s="310"/>
      <c r="K114" s="310"/>
      <c r="L114" s="86"/>
      <c r="M114" s="247"/>
      <c r="N114" s="250"/>
      <c r="O114" s="253"/>
      <c r="P114" s="253"/>
      <c r="Q114" s="253"/>
      <c r="R114" s="253"/>
      <c r="S114" s="253"/>
      <c r="T114" s="255"/>
      <c r="U114" s="91" t="s">
        <v>164</v>
      </c>
      <c r="V114" s="92"/>
      <c r="W114" s="93">
        <f>W112*0.3</f>
        <v>3.2730000000000001</v>
      </c>
      <c r="X114" s="144" t="s">
        <v>34</v>
      </c>
      <c r="Y114" s="84">
        <v>3</v>
      </c>
      <c r="Z114" s="143">
        <v>3000000</v>
      </c>
      <c r="AA114" s="86"/>
      <c r="AB114" s="87">
        <v>0.5</v>
      </c>
      <c r="AC114" s="88">
        <f t="shared" si="1"/>
        <v>4500000</v>
      </c>
      <c r="AD114" s="241"/>
      <c r="AE114" s="241"/>
      <c r="AF114" s="86"/>
      <c r="AL114" s="132"/>
      <c r="AM114" s="135"/>
      <c r="AN114" s="135"/>
      <c r="AS114" s="135"/>
      <c r="AT114" s="135"/>
    </row>
    <row r="115" spans="1:46" s="90" customFormat="1" ht="28.5" customHeight="1">
      <c r="A115" s="257"/>
      <c r="B115" s="260"/>
      <c r="C115" s="263"/>
      <c r="D115" s="263"/>
      <c r="E115" s="263"/>
      <c r="F115" s="263"/>
      <c r="G115" s="302"/>
      <c r="H115" s="160"/>
      <c r="I115" s="310"/>
      <c r="J115" s="310"/>
      <c r="K115" s="310"/>
      <c r="L115" s="86"/>
      <c r="M115" s="247"/>
      <c r="N115" s="250"/>
      <c r="O115" s="253"/>
      <c r="P115" s="253"/>
      <c r="Q115" s="253"/>
      <c r="R115" s="253"/>
      <c r="S115" s="253"/>
      <c r="T115" s="255"/>
      <c r="U115" s="91" t="s">
        <v>165</v>
      </c>
      <c r="V115" s="144"/>
      <c r="W115" s="160"/>
      <c r="X115" s="144" t="s">
        <v>34</v>
      </c>
      <c r="Y115" s="84">
        <v>6</v>
      </c>
      <c r="Z115" s="143">
        <v>3000000</v>
      </c>
      <c r="AA115" s="144"/>
      <c r="AB115" s="87">
        <v>0</v>
      </c>
      <c r="AC115" s="88">
        <f t="shared" si="1"/>
        <v>0</v>
      </c>
      <c r="AD115" s="241"/>
      <c r="AE115" s="241"/>
      <c r="AF115" s="86"/>
      <c r="AL115" s="132"/>
      <c r="AM115" s="135"/>
      <c r="AN115" s="135"/>
      <c r="AS115" s="135"/>
      <c r="AT115" s="135"/>
    </row>
    <row r="116" spans="1:46" s="90" customFormat="1" ht="24.75" customHeight="1">
      <c r="A116" s="257"/>
      <c r="B116" s="260"/>
      <c r="C116" s="263"/>
      <c r="D116" s="263"/>
      <c r="E116" s="263"/>
      <c r="F116" s="263"/>
      <c r="G116" s="302"/>
      <c r="H116" s="160"/>
      <c r="I116" s="310"/>
      <c r="J116" s="310"/>
      <c r="K116" s="310"/>
      <c r="L116" s="86"/>
      <c r="M116" s="247"/>
      <c r="N116" s="250"/>
      <c r="O116" s="253"/>
      <c r="P116" s="253"/>
      <c r="Q116" s="253"/>
      <c r="R116" s="253"/>
      <c r="S116" s="253"/>
      <c r="T116" s="255"/>
      <c r="U116" s="100" t="s">
        <v>185</v>
      </c>
      <c r="V116" s="92"/>
      <c r="W116" s="93"/>
      <c r="X116" s="144" t="s">
        <v>34</v>
      </c>
      <c r="Y116" s="84">
        <v>8</v>
      </c>
      <c r="Z116" s="143"/>
      <c r="AA116" s="86"/>
      <c r="AB116" s="87"/>
      <c r="AC116" s="88">
        <f t="shared" si="1"/>
        <v>0</v>
      </c>
      <c r="AD116" s="241"/>
      <c r="AE116" s="241"/>
      <c r="AF116" s="86"/>
      <c r="AL116" s="132" t="s">
        <v>171</v>
      </c>
      <c r="AM116" s="135"/>
      <c r="AN116" s="135"/>
      <c r="AS116" s="135"/>
      <c r="AT116" s="135"/>
    </row>
    <row r="117" spans="1:46" s="90" customFormat="1" ht="24.75" customHeight="1">
      <c r="A117" s="257"/>
      <c r="B117" s="260"/>
      <c r="C117" s="263"/>
      <c r="D117" s="263"/>
      <c r="E117" s="263"/>
      <c r="F117" s="263"/>
      <c r="G117" s="302"/>
      <c r="H117" s="160"/>
      <c r="I117" s="310"/>
      <c r="J117" s="310"/>
      <c r="K117" s="310"/>
      <c r="L117" s="86"/>
      <c r="M117" s="247"/>
      <c r="N117" s="250"/>
      <c r="O117" s="253"/>
      <c r="P117" s="253"/>
      <c r="Q117" s="253"/>
      <c r="R117" s="253"/>
      <c r="S117" s="253"/>
      <c r="T117" s="255"/>
      <c r="U117" s="91" t="s">
        <v>165</v>
      </c>
      <c r="V117" s="144"/>
      <c r="W117" s="160"/>
      <c r="X117" s="144" t="s">
        <v>34</v>
      </c>
      <c r="Y117" s="84">
        <v>8</v>
      </c>
      <c r="Z117" s="143">
        <v>1800000</v>
      </c>
      <c r="AA117" s="86"/>
      <c r="AB117" s="87">
        <v>0</v>
      </c>
      <c r="AC117" s="88">
        <f t="shared" si="1"/>
        <v>0</v>
      </c>
      <c r="AD117" s="241"/>
      <c r="AE117" s="241"/>
      <c r="AF117" s="86"/>
      <c r="AL117" s="132"/>
      <c r="AM117" s="135"/>
      <c r="AN117" s="135"/>
      <c r="AS117" s="135"/>
      <c r="AT117" s="135"/>
    </row>
    <row r="118" spans="1:46" s="90" customFormat="1" ht="55.5" customHeight="1">
      <c r="A118" s="258"/>
      <c r="B118" s="261"/>
      <c r="C118" s="264"/>
      <c r="D118" s="264"/>
      <c r="E118" s="264"/>
      <c r="F118" s="264"/>
      <c r="G118" s="308"/>
      <c r="H118" s="160"/>
      <c r="I118" s="311"/>
      <c r="J118" s="311"/>
      <c r="K118" s="311"/>
      <c r="L118" s="86"/>
      <c r="M118" s="248"/>
      <c r="N118" s="251"/>
      <c r="O118" s="254"/>
      <c r="P118" s="254"/>
      <c r="Q118" s="254"/>
      <c r="R118" s="254"/>
      <c r="S118" s="254"/>
      <c r="T118" s="268"/>
      <c r="U118" s="112" t="s">
        <v>238</v>
      </c>
      <c r="V118" s="92"/>
      <c r="W118" s="93"/>
      <c r="X118" s="83" t="s">
        <v>38</v>
      </c>
      <c r="Y118" s="95">
        <v>43.2</v>
      </c>
      <c r="Z118" s="143"/>
      <c r="AA118" s="86"/>
      <c r="AB118" s="87">
        <v>0</v>
      </c>
      <c r="AC118" s="88">
        <f t="shared" si="1"/>
        <v>0</v>
      </c>
      <c r="AD118" s="242"/>
      <c r="AE118" s="242"/>
      <c r="AF118" s="86"/>
      <c r="AL118" s="132" t="s">
        <v>171</v>
      </c>
      <c r="AM118" s="135"/>
      <c r="AN118" s="135"/>
      <c r="AS118" s="135"/>
      <c r="AT118" s="135"/>
    </row>
    <row r="119" spans="1:46" s="90" customFormat="1" ht="24.75" customHeight="1">
      <c r="A119" s="256">
        <v>11</v>
      </c>
      <c r="B119" s="259" t="s">
        <v>224</v>
      </c>
      <c r="C119" s="262">
        <v>64</v>
      </c>
      <c r="D119" s="262">
        <v>324</v>
      </c>
      <c r="E119" s="262">
        <v>431.9</v>
      </c>
      <c r="F119" s="262" t="s">
        <v>2</v>
      </c>
      <c r="G119" s="301">
        <v>432</v>
      </c>
      <c r="H119" s="160"/>
      <c r="I119" s="309">
        <f>E119-G119</f>
        <v>-0.10000000000002274</v>
      </c>
      <c r="J119" s="309">
        <v>432</v>
      </c>
      <c r="K119" s="309">
        <v>432</v>
      </c>
      <c r="L119" s="86"/>
      <c r="M119" s="246">
        <f>J119/K119</f>
        <v>1</v>
      </c>
      <c r="N119" s="249">
        <f>IF(M119&lt;0.1,2,IF(M119&lt;0.2,3,IF(M119&lt;0.3,5,IF(M119&gt;=0.7,12,IF(M119&gt;=0.3,6)))))</f>
        <v>12</v>
      </c>
      <c r="O119" s="252">
        <v>1</v>
      </c>
      <c r="P119" s="252">
        <v>80000</v>
      </c>
      <c r="Q119" s="252">
        <f>J119*P119</f>
        <v>34560000</v>
      </c>
      <c r="R119" s="252">
        <f>Q119*3</f>
        <v>103680000</v>
      </c>
      <c r="S119" s="252">
        <f>N119*O119*S7</f>
        <v>6120000</v>
      </c>
      <c r="T119" s="255">
        <f>SUM(Q119:S127)</f>
        <v>144360000</v>
      </c>
      <c r="U119" s="82" t="s">
        <v>162</v>
      </c>
      <c r="V119" s="144">
        <v>25</v>
      </c>
      <c r="W119" s="160">
        <f>J119/V119</f>
        <v>17.28</v>
      </c>
      <c r="X119" s="144" t="s">
        <v>34</v>
      </c>
      <c r="Y119" s="84">
        <v>8</v>
      </c>
      <c r="Z119" s="143"/>
      <c r="AA119" s="144"/>
      <c r="AB119" s="87"/>
      <c r="AC119" s="88">
        <f t="shared" si="1"/>
        <v>0</v>
      </c>
      <c r="AD119" s="240">
        <f>AC119+AC120+AC121+AC122+AC123+AC124+AC125+AC126+AC127</f>
        <v>75585000</v>
      </c>
      <c r="AE119" s="240">
        <f>T119+AD119</f>
        <v>219945000</v>
      </c>
      <c r="AF119" s="99" t="s">
        <v>223</v>
      </c>
      <c r="AL119" s="132" t="s">
        <v>171</v>
      </c>
      <c r="AM119" s="135"/>
      <c r="AN119" s="135"/>
      <c r="AS119" s="135"/>
      <c r="AT119" s="135"/>
    </row>
    <row r="120" spans="1:46" s="90" customFormat="1" ht="24.75" customHeight="1">
      <c r="A120" s="257"/>
      <c r="B120" s="260"/>
      <c r="C120" s="263"/>
      <c r="D120" s="263"/>
      <c r="E120" s="263"/>
      <c r="F120" s="263"/>
      <c r="G120" s="302"/>
      <c r="H120" s="160"/>
      <c r="I120" s="310"/>
      <c r="J120" s="310"/>
      <c r="K120" s="310"/>
      <c r="L120" s="86"/>
      <c r="M120" s="247"/>
      <c r="N120" s="250"/>
      <c r="O120" s="253"/>
      <c r="P120" s="253"/>
      <c r="Q120" s="253"/>
      <c r="R120" s="253"/>
      <c r="S120" s="253"/>
      <c r="T120" s="255"/>
      <c r="U120" s="91" t="s">
        <v>158</v>
      </c>
      <c r="V120" s="144"/>
      <c r="W120" s="160"/>
      <c r="X120" s="144" t="s">
        <v>34</v>
      </c>
      <c r="Y120" s="84">
        <v>8</v>
      </c>
      <c r="Z120" s="143">
        <v>4500000</v>
      </c>
      <c r="AA120" s="144"/>
      <c r="AB120" s="87">
        <v>1</v>
      </c>
      <c r="AC120" s="88">
        <f t="shared" si="1"/>
        <v>36000000</v>
      </c>
      <c r="AD120" s="241"/>
      <c r="AE120" s="241"/>
      <c r="AF120" s="86"/>
      <c r="AL120" s="132" t="s">
        <v>171</v>
      </c>
      <c r="AM120" s="135"/>
      <c r="AN120" s="135"/>
      <c r="AS120" s="135"/>
      <c r="AT120" s="135"/>
    </row>
    <row r="121" spans="1:46" s="90" customFormat="1" ht="24.75" customHeight="1">
      <c r="A121" s="257"/>
      <c r="B121" s="260"/>
      <c r="C121" s="263"/>
      <c r="D121" s="263"/>
      <c r="E121" s="263"/>
      <c r="F121" s="263"/>
      <c r="G121" s="302"/>
      <c r="H121" s="160"/>
      <c r="I121" s="310"/>
      <c r="J121" s="310"/>
      <c r="K121" s="310"/>
      <c r="L121" s="86"/>
      <c r="M121" s="247"/>
      <c r="N121" s="250"/>
      <c r="O121" s="253"/>
      <c r="P121" s="253"/>
      <c r="Q121" s="253"/>
      <c r="R121" s="253"/>
      <c r="S121" s="253"/>
      <c r="T121" s="255"/>
      <c r="U121" s="100" t="s">
        <v>167</v>
      </c>
      <c r="V121" s="92"/>
      <c r="W121" s="93"/>
      <c r="X121" s="144" t="s">
        <v>34</v>
      </c>
      <c r="Y121" s="84">
        <v>11</v>
      </c>
      <c r="Z121" s="143"/>
      <c r="AA121" s="86"/>
      <c r="AB121" s="87"/>
      <c r="AC121" s="88">
        <f t="shared" si="1"/>
        <v>0</v>
      </c>
      <c r="AD121" s="241"/>
      <c r="AE121" s="241"/>
      <c r="AF121" s="86"/>
      <c r="AL121" s="132"/>
      <c r="AM121" s="135"/>
      <c r="AN121" s="135"/>
      <c r="AS121" s="135"/>
      <c r="AT121" s="135"/>
    </row>
    <row r="122" spans="1:46" s="90" customFormat="1" ht="24.75" customHeight="1">
      <c r="A122" s="257"/>
      <c r="B122" s="260"/>
      <c r="C122" s="263"/>
      <c r="D122" s="263"/>
      <c r="E122" s="263"/>
      <c r="F122" s="263"/>
      <c r="G122" s="302"/>
      <c r="H122" s="160"/>
      <c r="I122" s="310"/>
      <c r="J122" s="310"/>
      <c r="K122" s="310"/>
      <c r="L122" s="86"/>
      <c r="M122" s="247"/>
      <c r="N122" s="250"/>
      <c r="O122" s="253"/>
      <c r="P122" s="253"/>
      <c r="Q122" s="253"/>
      <c r="R122" s="253"/>
      <c r="S122" s="253"/>
      <c r="T122" s="255"/>
      <c r="U122" s="91" t="s">
        <v>158</v>
      </c>
      <c r="V122" s="92"/>
      <c r="W122" s="93"/>
      <c r="X122" s="144" t="s">
        <v>34</v>
      </c>
      <c r="Y122" s="84">
        <v>9</v>
      </c>
      <c r="Z122" s="143">
        <v>3850000</v>
      </c>
      <c r="AA122" s="86"/>
      <c r="AB122" s="87">
        <v>1</v>
      </c>
      <c r="AC122" s="88">
        <f t="shared" si="1"/>
        <v>34650000</v>
      </c>
      <c r="AD122" s="241"/>
      <c r="AE122" s="241"/>
      <c r="AF122" s="86"/>
      <c r="AL122" s="132"/>
      <c r="AM122" s="135"/>
      <c r="AN122" s="135"/>
      <c r="AS122" s="135"/>
      <c r="AT122" s="135"/>
    </row>
    <row r="123" spans="1:46" s="90" customFormat="1" ht="24.75" customHeight="1">
      <c r="A123" s="257"/>
      <c r="B123" s="260"/>
      <c r="C123" s="263"/>
      <c r="D123" s="263"/>
      <c r="E123" s="263"/>
      <c r="F123" s="263"/>
      <c r="G123" s="302"/>
      <c r="H123" s="160"/>
      <c r="I123" s="310"/>
      <c r="J123" s="310"/>
      <c r="K123" s="310"/>
      <c r="L123" s="86"/>
      <c r="M123" s="247"/>
      <c r="N123" s="250"/>
      <c r="O123" s="253"/>
      <c r="P123" s="253"/>
      <c r="Q123" s="253"/>
      <c r="R123" s="253"/>
      <c r="S123" s="253"/>
      <c r="T123" s="255"/>
      <c r="U123" s="91" t="s">
        <v>164</v>
      </c>
      <c r="V123" s="92"/>
      <c r="W123" s="93">
        <f>0.3*(19-17)</f>
        <v>0.6</v>
      </c>
      <c r="X123" s="144" t="s">
        <v>34</v>
      </c>
      <c r="Y123" s="84">
        <v>1</v>
      </c>
      <c r="Z123" s="143">
        <v>3850000</v>
      </c>
      <c r="AA123" s="86"/>
      <c r="AB123" s="87">
        <v>0.3</v>
      </c>
      <c r="AC123" s="88">
        <f t="shared" si="1"/>
        <v>1155000</v>
      </c>
      <c r="AD123" s="241"/>
      <c r="AE123" s="241"/>
      <c r="AF123" s="86"/>
      <c r="AL123" s="132"/>
      <c r="AM123" s="135"/>
      <c r="AN123" s="135"/>
      <c r="AS123" s="135"/>
      <c r="AT123" s="135"/>
    </row>
    <row r="124" spans="1:46" s="90" customFormat="1" ht="24.75" customHeight="1">
      <c r="A124" s="257"/>
      <c r="B124" s="260"/>
      <c r="C124" s="263"/>
      <c r="D124" s="263"/>
      <c r="E124" s="263"/>
      <c r="F124" s="263"/>
      <c r="G124" s="302"/>
      <c r="H124" s="160"/>
      <c r="I124" s="310"/>
      <c r="J124" s="310"/>
      <c r="K124" s="310"/>
      <c r="L124" s="86"/>
      <c r="M124" s="247"/>
      <c r="N124" s="250"/>
      <c r="O124" s="253"/>
      <c r="P124" s="253"/>
      <c r="Q124" s="253"/>
      <c r="R124" s="253"/>
      <c r="S124" s="253"/>
      <c r="T124" s="255"/>
      <c r="U124" s="91" t="s">
        <v>165</v>
      </c>
      <c r="V124" s="144"/>
      <c r="W124" s="160"/>
      <c r="X124" s="144" t="s">
        <v>34</v>
      </c>
      <c r="Y124" s="84">
        <v>1</v>
      </c>
      <c r="Z124" s="143">
        <v>3850000</v>
      </c>
      <c r="AA124" s="144"/>
      <c r="AB124" s="87">
        <v>0</v>
      </c>
      <c r="AC124" s="88">
        <f t="shared" si="1"/>
        <v>0</v>
      </c>
      <c r="AD124" s="241"/>
      <c r="AE124" s="241"/>
      <c r="AF124" s="86"/>
      <c r="AL124" s="132"/>
      <c r="AM124" s="135"/>
      <c r="AN124" s="135"/>
      <c r="AS124" s="135"/>
      <c r="AT124" s="135"/>
    </row>
    <row r="125" spans="1:46" s="90" customFormat="1" ht="31.5">
      <c r="A125" s="257"/>
      <c r="B125" s="260"/>
      <c r="C125" s="263"/>
      <c r="D125" s="263"/>
      <c r="E125" s="263"/>
      <c r="F125" s="263"/>
      <c r="G125" s="302"/>
      <c r="H125" s="160"/>
      <c r="I125" s="310"/>
      <c r="J125" s="310"/>
      <c r="K125" s="310"/>
      <c r="L125" s="86"/>
      <c r="M125" s="247"/>
      <c r="N125" s="250"/>
      <c r="O125" s="253"/>
      <c r="P125" s="253"/>
      <c r="Q125" s="253"/>
      <c r="R125" s="253"/>
      <c r="S125" s="253"/>
      <c r="T125" s="255"/>
      <c r="U125" s="100" t="s">
        <v>169</v>
      </c>
      <c r="V125" s="92">
        <v>20</v>
      </c>
      <c r="W125" s="93">
        <f>G119/V125</f>
        <v>21.6</v>
      </c>
      <c r="X125" s="144" t="s">
        <v>34</v>
      </c>
      <c r="Y125" s="84">
        <v>15</v>
      </c>
      <c r="Z125" s="143"/>
      <c r="AA125" s="86"/>
      <c r="AB125" s="87"/>
      <c r="AC125" s="88">
        <f t="shared" si="1"/>
        <v>0</v>
      </c>
      <c r="AD125" s="241"/>
      <c r="AE125" s="241"/>
      <c r="AF125" s="86"/>
      <c r="AL125" s="132"/>
      <c r="AM125" s="135"/>
      <c r="AN125" s="135"/>
      <c r="AS125" s="135"/>
      <c r="AT125" s="135"/>
    </row>
    <row r="126" spans="1:46" s="90" customFormat="1" ht="24.75" customHeight="1">
      <c r="A126" s="257"/>
      <c r="B126" s="260"/>
      <c r="C126" s="263"/>
      <c r="D126" s="263"/>
      <c r="E126" s="263"/>
      <c r="F126" s="263"/>
      <c r="G126" s="302"/>
      <c r="H126" s="160"/>
      <c r="I126" s="310"/>
      <c r="J126" s="310"/>
      <c r="K126" s="310"/>
      <c r="L126" s="86"/>
      <c r="M126" s="247"/>
      <c r="N126" s="250"/>
      <c r="O126" s="253"/>
      <c r="P126" s="253"/>
      <c r="Q126" s="253"/>
      <c r="R126" s="253"/>
      <c r="S126" s="253"/>
      <c r="T126" s="255"/>
      <c r="U126" s="91" t="s">
        <v>158</v>
      </c>
      <c r="V126" s="92"/>
      <c r="W126" s="93">
        <f>W125*0.3</f>
        <v>6.48</v>
      </c>
      <c r="X126" s="83" t="s">
        <v>38</v>
      </c>
      <c r="Y126" s="84">
        <v>7</v>
      </c>
      <c r="Z126" s="143">
        <v>1800000</v>
      </c>
      <c r="AA126" s="144"/>
      <c r="AB126" s="87">
        <v>0.3</v>
      </c>
      <c r="AC126" s="88">
        <f t="shared" si="1"/>
        <v>3780000</v>
      </c>
      <c r="AD126" s="241"/>
      <c r="AE126" s="241"/>
      <c r="AF126" s="86"/>
      <c r="AL126" s="132"/>
      <c r="AM126" s="135"/>
      <c r="AN126" s="135"/>
      <c r="AS126" s="135"/>
      <c r="AT126" s="135"/>
    </row>
    <row r="127" spans="1:46" s="90" customFormat="1" ht="24.75" customHeight="1">
      <c r="A127" s="258"/>
      <c r="B127" s="261"/>
      <c r="C127" s="264"/>
      <c r="D127" s="264"/>
      <c r="E127" s="264"/>
      <c r="F127" s="264"/>
      <c r="G127" s="308"/>
      <c r="H127" s="160"/>
      <c r="I127" s="311"/>
      <c r="J127" s="311"/>
      <c r="K127" s="311"/>
      <c r="L127" s="86"/>
      <c r="M127" s="248"/>
      <c r="N127" s="251"/>
      <c r="O127" s="254"/>
      <c r="P127" s="254"/>
      <c r="Q127" s="254"/>
      <c r="R127" s="254"/>
      <c r="S127" s="254"/>
      <c r="T127" s="255"/>
      <c r="U127" s="91" t="s">
        <v>246</v>
      </c>
      <c r="V127" s="144"/>
      <c r="W127" s="160"/>
      <c r="X127" s="144" t="s">
        <v>34</v>
      </c>
      <c r="Y127" s="84">
        <v>8</v>
      </c>
      <c r="Z127" s="143">
        <v>1800000</v>
      </c>
      <c r="AA127" s="144"/>
      <c r="AB127" s="87">
        <v>0</v>
      </c>
      <c r="AC127" s="88">
        <f t="shared" si="1"/>
        <v>0</v>
      </c>
      <c r="AD127" s="242"/>
      <c r="AE127" s="242"/>
      <c r="AF127" s="86"/>
      <c r="AL127" s="132" t="s">
        <v>171</v>
      </c>
      <c r="AM127" s="135"/>
      <c r="AN127" s="135"/>
      <c r="AS127" s="135"/>
      <c r="AT127" s="135"/>
    </row>
    <row r="128" spans="1:46" s="325" customFormat="1" ht="36.75" customHeight="1">
      <c r="A128" s="170"/>
      <c r="B128" s="171" t="s">
        <v>46</v>
      </c>
      <c r="C128" s="170"/>
      <c r="D128" s="170"/>
      <c r="E128" s="170">
        <f>SUM(E9:E127)</f>
        <v>10507.630000000001</v>
      </c>
      <c r="F128" s="170"/>
      <c r="G128" s="172">
        <f t="shared" ref="G128:T128" si="2">SUM(G9:G127)</f>
        <v>10535</v>
      </c>
      <c r="H128" s="170">
        <f t="shared" si="2"/>
        <v>1725.6</v>
      </c>
      <c r="I128" s="170">
        <f t="shared" si="2"/>
        <v>222.72999999999973</v>
      </c>
      <c r="J128" s="170">
        <f t="shared" si="2"/>
        <v>10284.900000000001</v>
      </c>
      <c r="K128" s="172">
        <f t="shared" si="2"/>
        <v>15167</v>
      </c>
      <c r="L128" s="170">
        <f t="shared" si="2"/>
        <v>0</v>
      </c>
      <c r="M128" s="170"/>
      <c r="N128" s="170"/>
      <c r="O128" s="172">
        <f t="shared" si="2"/>
        <v>49</v>
      </c>
      <c r="P128" s="170"/>
      <c r="Q128" s="172">
        <f t="shared" si="2"/>
        <v>822792000</v>
      </c>
      <c r="R128" s="172">
        <f t="shared" si="2"/>
        <v>2468376000</v>
      </c>
      <c r="S128" s="172">
        <f t="shared" si="2"/>
        <v>227970000</v>
      </c>
      <c r="T128" s="172">
        <f t="shared" si="2"/>
        <v>3519138000</v>
      </c>
      <c r="U128" s="170"/>
      <c r="V128" s="170"/>
      <c r="W128" s="170"/>
      <c r="X128" s="170"/>
      <c r="Y128" s="170"/>
      <c r="Z128" s="170"/>
      <c r="AA128" s="170"/>
      <c r="AB128" s="170"/>
      <c r="AC128" s="170"/>
      <c r="AD128" s="172">
        <f>SUM(AD9:AD127)</f>
        <v>1476772400</v>
      </c>
      <c r="AE128" s="172">
        <f>SUM(AE9:AE127)</f>
        <v>4995910400</v>
      </c>
      <c r="AG128" s="328"/>
      <c r="AL128" s="324"/>
      <c r="AM128" s="324"/>
      <c r="AN128" s="324"/>
      <c r="AS128" s="324"/>
      <c r="AT128" s="324"/>
    </row>
    <row r="129" spans="1:50" s="64" customFormat="1">
      <c r="A129" s="119"/>
      <c r="B129" s="120"/>
      <c r="F129" s="121"/>
      <c r="G129" s="122"/>
      <c r="H129" s="123"/>
      <c r="I129" s="121"/>
      <c r="J129" s="124"/>
      <c r="K129" s="124"/>
      <c r="M129" s="125"/>
      <c r="N129" s="123"/>
      <c r="O129" s="124"/>
      <c r="P129" s="123"/>
      <c r="Q129" s="123"/>
      <c r="R129" s="123"/>
      <c r="S129" s="123"/>
      <c r="T129" s="123"/>
      <c r="U129" s="120"/>
      <c r="V129" s="126"/>
      <c r="W129" s="126"/>
      <c r="Y129" s="122"/>
      <c r="Z129" s="121"/>
      <c r="AC129" s="127"/>
      <c r="AD129" s="128"/>
      <c r="AE129" s="128"/>
      <c r="AF129" s="129"/>
      <c r="AG129" s="130"/>
      <c r="AL129" s="131"/>
      <c r="AM129" s="131"/>
      <c r="AN129" s="131"/>
      <c r="AS129" s="131"/>
      <c r="AT129" s="131"/>
    </row>
    <row r="130" spans="1:50" s="58" customFormat="1">
      <c r="A130" s="173"/>
      <c r="B130" s="174"/>
      <c r="C130" s="131"/>
      <c r="D130" s="131"/>
      <c r="E130" s="131"/>
      <c r="F130" s="175"/>
      <c r="G130" s="176"/>
      <c r="H130" s="177"/>
      <c r="I130" s="175"/>
      <c r="J130" s="178"/>
      <c r="K130" s="178"/>
      <c r="L130" s="131"/>
      <c r="M130" s="179"/>
      <c r="N130" s="177"/>
      <c r="O130" s="178"/>
      <c r="P130" s="177"/>
      <c r="Q130" s="177">
        <f>J128*80000</f>
        <v>822792000.00000012</v>
      </c>
      <c r="R130" s="177">
        <f>Q130*3</f>
        <v>2468376000.0000005</v>
      </c>
      <c r="S130" s="177"/>
      <c r="T130" s="177">
        <f>Q130+R130+S128</f>
        <v>3519138000.0000005</v>
      </c>
      <c r="U130" s="174"/>
      <c r="V130" s="180"/>
      <c r="W130" s="180"/>
      <c r="X130" s="131"/>
      <c r="Y130" s="176"/>
      <c r="Z130" s="175"/>
      <c r="AA130" s="131"/>
      <c r="AB130" s="131"/>
      <c r="AC130" s="181"/>
      <c r="AD130" s="182">
        <f>SUM(AD10:AD127)</f>
        <v>1476772400</v>
      </c>
      <c r="AE130" s="182">
        <f>T130+AD130</f>
        <v>4995910400</v>
      </c>
      <c r="AF130" s="61"/>
      <c r="AG130" s="62"/>
      <c r="AL130" s="131"/>
      <c r="AM130" s="131"/>
      <c r="AN130" s="131"/>
      <c r="AO130" s="131"/>
      <c r="AP130" s="131"/>
      <c r="AQ130" s="131"/>
      <c r="AR130" s="131"/>
      <c r="AS130" s="131"/>
      <c r="AT130" s="131"/>
      <c r="AU130" s="131"/>
      <c r="AV130" s="131"/>
      <c r="AW130" s="131"/>
      <c r="AX130" s="131"/>
    </row>
    <row r="131" spans="1:50" s="58" customFormat="1">
      <c r="A131" s="173"/>
      <c r="B131" s="174"/>
      <c r="C131" s="131"/>
      <c r="D131" s="131"/>
      <c r="E131" s="131"/>
      <c r="F131" s="175"/>
      <c r="G131" s="176"/>
      <c r="H131" s="177"/>
      <c r="I131" s="175"/>
      <c r="J131" s="178"/>
      <c r="K131" s="178"/>
      <c r="L131" s="131"/>
      <c r="M131" s="179"/>
      <c r="N131" s="177"/>
      <c r="O131" s="178"/>
      <c r="P131" s="177"/>
      <c r="Q131" s="177"/>
      <c r="R131" s="177"/>
      <c r="S131" s="177"/>
      <c r="T131" s="177"/>
      <c r="U131" s="174"/>
      <c r="V131" s="180"/>
      <c r="W131" s="180"/>
      <c r="X131" s="131"/>
      <c r="Y131" s="176"/>
      <c r="Z131" s="175"/>
      <c r="AA131" s="131"/>
      <c r="AB131" s="131"/>
      <c r="AC131" s="181"/>
      <c r="AD131" s="182"/>
      <c r="AE131" s="182"/>
      <c r="AF131" s="61"/>
      <c r="AG131" s="62"/>
      <c r="AL131" s="131"/>
      <c r="AM131" s="131"/>
      <c r="AN131" s="131"/>
      <c r="AO131" s="131"/>
      <c r="AP131" s="131"/>
      <c r="AQ131" s="131"/>
      <c r="AR131" s="131"/>
      <c r="AS131" s="131"/>
      <c r="AT131" s="131"/>
      <c r="AU131" s="131"/>
      <c r="AV131" s="131"/>
      <c r="AW131" s="131"/>
      <c r="AX131" s="131"/>
    </row>
    <row r="132" spans="1:50" s="58" customFormat="1">
      <c r="A132" s="173"/>
      <c r="B132" s="174"/>
      <c r="C132" s="131"/>
      <c r="D132" s="131"/>
      <c r="E132" s="131"/>
      <c r="F132" s="175"/>
      <c r="G132" s="176"/>
      <c r="H132" s="177"/>
      <c r="I132" s="175"/>
      <c r="J132" s="178"/>
      <c r="K132" s="178"/>
      <c r="L132" s="131"/>
      <c r="M132" s="179"/>
      <c r="N132" s="177"/>
      <c r="O132" s="178"/>
      <c r="P132" s="177"/>
      <c r="Q132" s="177"/>
      <c r="R132" s="177"/>
      <c r="S132" s="177"/>
      <c r="T132" s="177"/>
      <c r="U132" s="174"/>
      <c r="V132" s="180"/>
      <c r="W132" s="180"/>
      <c r="X132" s="131"/>
      <c r="Y132" s="176"/>
      <c r="Z132" s="175"/>
      <c r="AA132" s="131"/>
      <c r="AB132" s="131"/>
      <c r="AC132" s="181"/>
      <c r="AD132" s="182"/>
      <c r="AE132" s="182"/>
      <c r="AF132" s="61"/>
      <c r="AG132" s="62"/>
      <c r="AL132" s="131"/>
      <c r="AM132" s="131"/>
      <c r="AN132" s="131"/>
      <c r="AO132" s="131"/>
      <c r="AP132" s="131"/>
      <c r="AQ132" s="131"/>
      <c r="AR132" s="131"/>
      <c r="AS132" s="131"/>
      <c r="AT132" s="131"/>
      <c r="AU132" s="131"/>
      <c r="AV132" s="131"/>
      <c r="AW132" s="131"/>
      <c r="AX132" s="131"/>
    </row>
    <row r="133" spans="1:50" s="58" customFormat="1">
      <c r="A133" s="173"/>
      <c r="B133" s="174"/>
      <c r="C133" s="131"/>
      <c r="D133" s="131"/>
      <c r="E133" s="131"/>
      <c r="F133" s="175"/>
      <c r="G133" s="176"/>
      <c r="H133" s="177"/>
      <c r="I133" s="175"/>
      <c r="J133" s="178"/>
      <c r="K133" s="178"/>
      <c r="L133" s="131"/>
      <c r="M133" s="179"/>
      <c r="N133" s="177"/>
      <c r="O133" s="178"/>
      <c r="P133" s="177"/>
      <c r="Q133" s="177"/>
      <c r="R133" s="177"/>
      <c r="S133" s="177"/>
      <c r="T133" s="177"/>
      <c r="U133" s="174"/>
      <c r="V133" s="180"/>
      <c r="W133" s="180"/>
      <c r="X133" s="131"/>
      <c r="Y133" s="176"/>
      <c r="Z133" s="175"/>
      <c r="AA133" s="131"/>
      <c r="AB133" s="131"/>
      <c r="AC133" s="181"/>
      <c r="AD133" s="182"/>
      <c r="AE133" s="182"/>
      <c r="AF133" s="61"/>
      <c r="AG133" s="62"/>
      <c r="AL133" s="131"/>
      <c r="AM133" s="131"/>
      <c r="AN133" s="131"/>
      <c r="AO133" s="131"/>
      <c r="AP133" s="131"/>
      <c r="AQ133" s="131"/>
      <c r="AR133" s="131"/>
      <c r="AS133" s="131"/>
      <c r="AT133" s="131"/>
      <c r="AU133" s="131"/>
      <c r="AV133" s="131"/>
      <c r="AW133" s="131"/>
      <c r="AX133" s="131"/>
    </row>
    <row r="134" spans="1:50" s="58" customFormat="1">
      <c r="A134" s="173"/>
      <c r="B134" s="174"/>
      <c r="C134" s="131"/>
      <c r="D134" s="131"/>
      <c r="E134" s="131"/>
      <c r="F134" s="175"/>
      <c r="G134" s="176"/>
      <c r="H134" s="177"/>
      <c r="I134" s="175"/>
      <c r="J134" s="178"/>
      <c r="K134" s="178"/>
      <c r="L134" s="131"/>
      <c r="M134" s="179"/>
      <c r="N134" s="177"/>
      <c r="O134" s="178"/>
      <c r="P134" s="177"/>
      <c r="Q134" s="177"/>
      <c r="R134" s="177"/>
      <c r="S134" s="177"/>
      <c r="T134" s="177"/>
      <c r="U134" s="174"/>
      <c r="V134" s="180"/>
      <c r="W134" s="180"/>
      <c r="X134" s="131"/>
      <c r="Y134" s="176"/>
      <c r="Z134" s="175"/>
      <c r="AA134" s="131"/>
      <c r="AB134" s="131"/>
      <c r="AC134" s="181"/>
      <c r="AD134" s="182"/>
      <c r="AE134" s="182"/>
      <c r="AF134" s="61"/>
      <c r="AG134" s="62"/>
      <c r="AL134" s="131"/>
      <c r="AM134" s="131"/>
      <c r="AN134" s="131"/>
      <c r="AO134" s="131"/>
      <c r="AP134" s="131"/>
      <c r="AQ134" s="131"/>
      <c r="AR134" s="131"/>
      <c r="AS134" s="131"/>
      <c r="AT134" s="131"/>
      <c r="AU134" s="131"/>
      <c r="AV134" s="131"/>
      <c r="AW134" s="131"/>
      <c r="AX134" s="131"/>
    </row>
  </sheetData>
  <autoFilter ref="A8:AF128"/>
  <mergeCells count="263">
    <mergeCell ref="R119:R127"/>
    <mergeCell ref="S119:S127"/>
    <mergeCell ref="T119:T127"/>
    <mergeCell ref="AD119:AD127"/>
    <mergeCell ref="AE119:AE127"/>
    <mergeCell ref="J119:J127"/>
    <mergeCell ref="K119:K127"/>
    <mergeCell ref="M119:M127"/>
    <mergeCell ref="N119:N127"/>
    <mergeCell ref="O119:O127"/>
    <mergeCell ref="P119:P127"/>
    <mergeCell ref="AE112:AE118"/>
    <mergeCell ref="A119:A127"/>
    <mergeCell ref="B119:B127"/>
    <mergeCell ref="C119:C127"/>
    <mergeCell ref="D119:D127"/>
    <mergeCell ref="E119:E127"/>
    <mergeCell ref="F119:F127"/>
    <mergeCell ref="G119:G127"/>
    <mergeCell ref="I119:I127"/>
    <mergeCell ref="O112:O118"/>
    <mergeCell ref="P112:P118"/>
    <mergeCell ref="Q112:Q118"/>
    <mergeCell ref="R112:R118"/>
    <mergeCell ref="S112:S118"/>
    <mergeCell ref="T112:T118"/>
    <mergeCell ref="G112:G118"/>
    <mergeCell ref="I112:I118"/>
    <mergeCell ref="J112:J118"/>
    <mergeCell ref="K112:K118"/>
    <mergeCell ref="M112:M118"/>
    <mergeCell ref="N112:N118"/>
    <mergeCell ref="A112:A118"/>
    <mergeCell ref="B112:B118"/>
    <mergeCell ref="Q119:Q127"/>
    <mergeCell ref="C112:C118"/>
    <mergeCell ref="D112:D118"/>
    <mergeCell ref="E112:E118"/>
    <mergeCell ref="F112:F118"/>
    <mergeCell ref="Q109:Q111"/>
    <mergeCell ref="R109:R111"/>
    <mergeCell ref="S109:S111"/>
    <mergeCell ref="T109:T111"/>
    <mergeCell ref="AD109:AD111"/>
    <mergeCell ref="AD112:AD118"/>
    <mergeCell ref="AE109:AE111"/>
    <mergeCell ref="J109:J111"/>
    <mergeCell ref="K109:K111"/>
    <mergeCell ref="M109:M111"/>
    <mergeCell ref="N109:N111"/>
    <mergeCell ref="O109:O111"/>
    <mergeCell ref="P109:P111"/>
    <mergeCell ref="AD104:AD108"/>
    <mergeCell ref="AE104:AE108"/>
    <mergeCell ref="P104:P108"/>
    <mergeCell ref="Q104:Q108"/>
    <mergeCell ref="R104:R108"/>
    <mergeCell ref="S104:S108"/>
    <mergeCell ref="T104:T108"/>
    <mergeCell ref="A109:A111"/>
    <mergeCell ref="B109:B111"/>
    <mergeCell ref="C109:C111"/>
    <mergeCell ref="D109:D111"/>
    <mergeCell ref="E109:E111"/>
    <mergeCell ref="F109:F111"/>
    <mergeCell ref="G109:G111"/>
    <mergeCell ref="I109:I111"/>
    <mergeCell ref="O104:O108"/>
    <mergeCell ref="G104:G108"/>
    <mergeCell ref="I104:I108"/>
    <mergeCell ref="J104:J108"/>
    <mergeCell ref="K104:K108"/>
    <mergeCell ref="M104:M108"/>
    <mergeCell ref="N104:N108"/>
    <mergeCell ref="A104:A108"/>
    <mergeCell ref="B104:B108"/>
    <mergeCell ref="C104:C108"/>
    <mergeCell ref="D104:D108"/>
    <mergeCell ref="E104:E108"/>
    <mergeCell ref="F104:F108"/>
    <mergeCell ref="AE91:AE102"/>
    <mergeCell ref="D99:D102"/>
    <mergeCell ref="E99:E102"/>
    <mergeCell ref="F99:F102"/>
    <mergeCell ref="G99:G102"/>
    <mergeCell ref="H99:H102"/>
    <mergeCell ref="I99:I102"/>
    <mergeCell ref="P91:P102"/>
    <mergeCell ref="Q91:Q102"/>
    <mergeCell ref="R91:R102"/>
    <mergeCell ref="S91:S102"/>
    <mergeCell ref="T91:T102"/>
    <mergeCell ref="AD91:AD102"/>
    <mergeCell ref="J91:J102"/>
    <mergeCell ref="K91:K102"/>
    <mergeCell ref="L91:L96"/>
    <mergeCell ref="M91:M102"/>
    <mergeCell ref="N91:N102"/>
    <mergeCell ref="O91:O102"/>
    <mergeCell ref="Q65:Q90"/>
    <mergeCell ref="R65:R90"/>
    <mergeCell ref="S65:S90"/>
    <mergeCell ref="T65:T90"/>
    <mergeCell ref="AD65:AD90"/>
    <mergeCell ref="J65:J90"/>
    <mergeCell ref="K65:K90"/>
    <mergeCell ref="L65:L90"/>
    <mergeCell ref="M65:M90"/>
    <mergeCell ref="N65:N90"/>
    <mergeCell ref="O65:O90"/>
    <mergeCell ref="A91:A102"/>
    <mergeCell ref="B91:B102"/>
    <mergeCell ref="C91:C102"/>
    <mergeCell ref="D91:D98"/>
    <mergeCell ref="E91:E98"/>
    <mergeCell ref="F91:F98"/>
    <mergeCell ref="G91:G98"/>
    <mergeCell ref="H91:H98"/>
    <mergeCell ref="I91:I98"/>
    <mergeCell ref="AD56:AD64"/>
    <mergeCell ref="AE56:AE64"/>
    <mergeCell ref="A65:A90"/>
    <mergeCell ref="B65:B90"/>
    <mergeCell ref="C65:C90"/>
    <mergeCell ref="D65:D90"/>
    <mergeCell ref="E65:E90"/>
    <mergeCell ref="F65:F90"/>
    <mergeCell ref="G65:G90"/>
    <mergeCell ref="I65:I90"/>
    <mergeCell ref="O56:O64"/>
    <mergeCell ref="P56:P64"/>
    <mergeCell ref="Q56:Q64"/>
    <mergeCell ref="R56:R64"/>
    <mergeCell ref="S56:S64"/>
    <mergeCell ref="T56:T64"/>
    <mergeCell ref="I56:I62"/>
    <mergeCell ref="J56:J64"/>
    <mergeCell ref="K56:K64"/>
    <mergeCell ref="L56:L63"/>
    <mergeCell ref="M56:M64"/>
    <mergeCell ref="N56:N64"/>
    <mergeCell ref="AE65:AE90"/>
    <mergeCell ref="P65:P90"/>
    <mergeCell ref="Q51:Q55"/>
    <mergeCell ref="R51:R55"/>
    <mergeCell ref="S51:S55"/>
    <mergeCell ref="T51:T55"/>
    <mergeCell ref="G51:G55"/>
    <mergeCell ref="I51:I55"/>
    <mergeCell ref="J51:J55"/>
    <mergeCell ref="K51:K55"/>
    <mergeCell ref="M51:M55"/>
    <mergeCell ref="N51:N55"/>
    <mergeCell ref="A56:A64"/>
    <mergeCell ref="B56:B64"/>
    <mergeCell ref="C56:C64"/>
    <mergeCell ref="D56:D62"/>
    <mergeCell ref="E56:E62"/>
    <mergeCell ref="F56:F62"/>
    <mergeCell ref="G56:G62"/>
    <mergeCell ref="H56:H63"/>
    <mergeCell ref="O51:O55"/>
    <mergeCell ref="AE29:AE50"/>
    <mergeCell ref="A51:A55"/>
    <mergeCell ref="B51:B55"/>
    <mergeCell ref="C51:C55"/>
    <mergeCell ref="D51:D55"/>
    <mergeCell ref="E51:E55"/>
    <mergeCell ref="F51:F55"/>
    <mergeCell ref="M29:M50"/>
    <mergeCell ref="N29:N50"/>
    <mergeCell ref="O29:O50"/>
    <mergeCell ref="P29:P50"/>
    <mergeCell ref="Q29:Q50"/>
    <mergeCell ref="R29:R50"/>
    <mergeCell ref="G29:G50"/>
    <mergeCell ref="H29:H46"/>
    <mergeCell ref="I29:I50"/>
    <mergeCell ref="J29:J50"/>
    <mergeCell ref="K29:K50"/>
    <mergeCell ref="L29:L46"/>
    <mergeCell ref="A29:A50"/>
    <mergeCell ref="B29:B50"/>
    <mergeCell ref="AD51:AD55"/>
    <mergeCell ref="AE51:AE55"/>
    <mergeCell ref="P51:P55"/>
    <mergeCell ref="AE19:AE28"/>
    <mergeCell ref="D24:D28"/>
    <mergeCell ref="E24:E28"/>
    <mergeCell ref="F24:F28"/>
    <mergeCell ref="G24:G28"/>
    <mergeCell ref="I24:I28"/>
    <mergeCell ref="M19:M28"/>
    <mergeCell ref="N19:N28"/>
    <mergeCell ref="O19:O28"/>
    <mergeCell ref="P19:P28"/>
    <mergeCell ref="Q19:Q28"/>
    <mergeCell ref="R19:R28"/>
    <mergeCell ref="G19:G23"/>
    <mergeCell ref="H19:H23"/>
    <mergeCell ref="I19:I23"/>
    <mergeCell ref="J19:J28"/>
    <mergeCell ref="K19:K28"/>
    <mergeCell ref="C29:C50"/>
    <mergeCell ref="D29:D50"/>
    <mergeCell ref="E29:E50"/>
    <mergeCell ref="F29:F50"/>
    <mergeCell ref="S19:S28"/>
    <mergeCell ref="T19:T28"/>
    <mergeCell ref="AD19:AD28"/>
    <mergeCell ref="S29:S50"/>
    <mergeCell ref="T29:T50"/>
    <mergeCell ref="AD29:AD50"/>
    <mergeCell ref="L19:L23"/>
    <mergeCell ref="A19:A28"/>
    <mergeCell ref="B19:B28"/>
    <mergeCell ref="C19:C28"/>
    <mergeCell ref="D19:D23"/>
    <mergeCell ref="E19:E23"/>
    <mergeCell ref="F19:F23"/>
    <mergeCell ref="A10:A18"/>
    <mergeCell ref="B10:B18"/>
    <mergeCell ref="C10:C18"/>
    <mergeCell ref="D10:D16"/>
    <mergeCell ref="E10:E16"/>
    <mergeCell ref="AE10:AE18"/>
    <mergeCell ref="D17:D18"/>
    <mergeCell ref="E17:E18"/>
    <mergeCell ref="F17:F18"/>
    <mergeCell ref="G17:G18"/>
    <mergeCell ref="H17:H18"/>
    <mergeCell ref="L10:L12"/>
    <mergeCell ref="M10:M18"/>
    <mergeCell ref="N10:N18"/>
    <mergeCell ref="O10:O18"/>
    <mergeCell ref="P10:P18"/>
    <mergeCell ref="Q10:Q18"/>
    <mergeCell ref="F10:F16"/>
    <mergeCell ref="G10:G16"/>
    <mergeCell ref="H10:H16"/>
    <mergeCell ref="I10:I16"/>
    <mergeCell ref="J10:J18"/>
    <mergeCell ref="R10:R18"/>
    <mergeCell ref="S10:S18"/>
    <mergeCell ref="K10:K18"/>
    <mergeCell ref="I17:I18"/>
    <mergeCell ref="T10:T18"/>
    <mergeCell ref="AD10:AD18"/>
    <mergeCell ref="A1:AE1"/>
    <mergeCell ref="A2:AF3"/>
    <mergeCell ref="A4:A6"/>
    <mergeCell ref="B4:B6"/>
    <mergeCell ref="C4:K4"/>
    <mergeCell ref="L4:L6"/>
    <mergeCell ref="M4:M6"/>
    <mergeCell ref="N4:N6"/>
    <mergeCell ref="O4:O6"/>
    <mergeCell ref="P4:T5"/>
    <mergeCell ref="U4:AD5"/>
    <mergeCell ref="AE4:AE6"/>
    <mergeCell ref="AF4:AF6"/>
    <mergeCell ref="C5:E5"/>
    <mergeCell ref="F5:K5"/>
  </mergeCells>
  <pageMargins left="0.45" right="0.2" top="0.5" bottom="0.5" header="0.3" footer="0.3"/>
  <pageSetup paperSize="9" scale="4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Xóm 8</vt:lpstr>
      <vt:lpstr>PA Trung châu DOT3 - F gốc</vt:lpstr>
      <vt:lpstr>Chi trả Đợt 5 kèm QĐ (11 hộ</vt:lpstr>
      <vt:lpstr>'Chi trả Đợt 5 kèm QĐ (11 hộ'!Print_Titles</vt:lpstr>
      <vt:lpstr>'PA Trung châu DOT3 - F gốc'!Print_Titles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DO THI ANH</cp:lastModifiedBy>
  <cp:lastPrinted>2026-04-09T07:46:36Z</cp:lastPrinted>
  <dcterms:created xsi:type="dcterms:W3CDTF">2025-11-27T02:35:57Z</dcterms:created>
  <dcterms:modified xsi:type="dcterms:W3CDTF">2026-04-09T07:46:39Z</dcterms:modified>
</cp:coreProperties>
</file>