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XÃ KHOÁI CHÂU 2026\THẨM ĐỊNH PHÊ DUYỆT PA SÂN GÔN ĐỢT 1\PHÊ DUYỆT ĐỢT 3\Chuẩn\"/>
    </mc:Choice>
  </mc:AlternateContent>
  <bookViews>
    <workbookView xWindow="0" yWindow="0" windowWidth="22185" windowHeight="8550" firstSheet="1" activeTab="3"/>
  </bookViews>
  <sheets>
    <sheet name="LuuTo 2" sheetId="26" state="hidden" r:id="rId1"/>
    <sheet name="1" sheetId="42" r:id="rId2"/>
    <sheet name="Chi trả Đợt 3 kèm PA" sheetId="46" r:id="rId3"/>
    <sheet name="Chi trả Đợt 3 kèm QĐ" sheetId="43" r:id="rId4"/>
    <sheet name="Chi trả Đợt 3 Kèm BB" sheetId="44" r:id="rId5"/>
    <sheet name="Chi trả Đợt 3 Kèm TB)" sheetId="45" r:id="rId6"/>
    <sheet name="Chi trả Đợt 3 Kèm TT" sheetId="41" r:id="rId7"/>
  </sheets>
  <externalReferences>
    <externalReference r:id="rId8"/>
    <externalReference r:id="rId9"/>
  </externalReferences>
  <definedNames>
    <definedName name="_xlnm._FilterDatabase" localSheetId="1" hidden="1">'1'!$A$7:$AE$408</definedName>
    <definedName name="_xlnm._FilterDatabase" localSheetId="4" hidden="1">'Chi trả Đợt 3 Kèm BB'!$A$7:$AE$191</definedName>
    <definedName name="_xlnm._FilterDatabase" localSheetId="2" hidden="1">'Chi trả Đợt 3 kèm PA'!$A$7:$AE$191</definedName>
    <definedName name="_xlnm._FilterDatabase" localSheetId="3" hidden="1">'Chi trả Đợt 3 kèm QĐ'!$A$7:$AE$191</definedName>
    <definedName name="_xlnm._FilterDatabase" localSheetId="5" hidden="1">'Chi trả Đợt 3 Kèm TB)'!$A$7:$AE$191</definedName>
    <definedName name="_xlnm._FilterDatabase" localSheetId="6" hidden="1">'Chi trả Đợt 3 Kèm TT'!$A$7:$AE$191</definedName>
    <definedName name="_xlnm.Print_Titles" localSheetId="1">'1'!$3:$5</definedName>
    <definedName name="_xlnm.Print_Titles" localSheetId="4">'Chi trả Đợt 3 Kèm BB'!$3:$5</definedName>
    <definedName name="_xlnm.Print_Titles" localSheetId="2">'Chi trả Đợt 3 kèm PA'!$3:$5</definedName>
    <definedName name="_xlnm.Print_Titles" localSheetId="3">'Chi trả Đợt 3 kèm QĐ'!$3:$5</definedName>
    <definedName name="_xlnm.Print_Titles" localSheetId="5">'Chi trả Đợt 3 Kèm TB)'!$3:$5</definedName>
    <definedName name="_xlnm.Print_Titles" localSheetId="6">'Chi trả Đợt 3 Kèm TT'!$3:$5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91" i="46" l="1"/>
  <c r="AH191" i="46"/>
  <c r="AG191" i="46"/>
  <c r="O191" i="46"/>
  <c r="L191" i="46"/>
  <c r="H191" i="46"/>
  <c r="F191" i="46"/>
  <c r="AC190" i="46"/>
  <c r="AC189" i="46"/>
  <c r="AC188" i="46"/>
  <c r="AC187" i="46"/>
  <c r="W187" i="46"/>
  <c r="AC186" i="46"/>
  <c r="AC185" i="46"/>
  <c r="W185" i="46"/>
  <c r="AC184" i="46"/>
  <c r="AF183" i="46"/>
  <c r="AC183" i="46"/>
  <c r="AC182" i="46"/>
  <c r="AF181" i="46"/>
  <c r="AC181" i="46"/>
  <c r="AC180" i="46"/>
  <c r="AF179" i="46"/>
  <c r="AC179" i="46"/>
  <c r="AD179" i="46" s="1"/>
  <c r="W179" i="46"/>
  <c r="S179" i="46"/>
  <c r="R179" i="46"/>
  <c r="Q179" i="46"/>
  <c r="T179" i="46" s="1"/>
  <c r="M179" i="46"/>
  <c r="I179" i="46"/>
  <c r="AC178" i="46"/>
  <c r="AC176" i="46"/>
  <c r="AC175" i="46"/>
  <c r="AC174" i="46"/>
  <c r="AC173" i="46"/>
  <c r="W173" i="46"/>
  <c r="AC172" i="46"/>
  <c r="AC171" i="46"/>
  <c r="AC170" i="46"/>
  <c r="Y170" i="46"/>
  <c r="AC169" i="46"/>
  <c r="W169" i="46"/>
  <c r="AC168" i="46"/>
  <c r="AF167" i="46"/>
  <c r="AC167" i="46"/>
  <c r="AD167" i="46" s="1"/>
  <c r="W167" i="46"/>
  <c r="S167" i="46"/>
  <c r="R167" i="46"/>
  <c r="Q167" i="46"/>
  <c r="T167" i="46" s="1"/>
  <c r="M167" i="46"/>
  <c r="I167" i="46"/>
  <c r="AC166" i="46"/>
  <c r="AD166" i="46" s="1"/>
  <c r="I166" i="46"/>
  <c r="AC165" i="46"/>
  <c r="W164" i="46"/>
  <c r="AC163" i="46"/>
  <c r="AD163" i="46" s="1"/>
  <c r="S163" i="46"/>
  <c r="Q163" i="46"/>
  <c r="R163" i="46" s="1"/>
  <c r="T163" i="46" s="1"/>
  <c r="AE163" i="46" s="1"/>
  <c r="J163" i="46"/>
  <c r="M163" i="46" s="1"/>
  <c r="I163" i="46"/>
  <c r="AC162" i="46"/>
  <c r="AD161" i="46"/>
  <c r="AC161" i="46"/>
  <c r="S161" i="46"/>
  <c r="R161" i="46"/>
  <c r="T161" i="46" s="1"/>
  <c r="AE161" i="46" s="1"/>
  <c r="Q161" i="46"/>
  <c r="M161" i="46"/>
  <c r="I161" i="46"/>
  <c r="AC160" i="46"/>
  <c r="AC158" i="46"/>
  <c r="Y158" i="46"/>
  <c r="AC157" i="46"/>
  <c r="W157" i="46"/>
  <c r="AC156" i="46"/>
  <c r="AD154" i="46" s="1"/>
  <c r="W155" i="46"/>
  <c r="AC154" i="46"/>
  <c r="S154" i="46"/>
  <c r="Q154" i="46"/>
  <c r="R154" i="46" s="1"/>
  <c r="T154" i="46" s="1"/>
  <c r="AE154" i="46" s="1"/>
  <c r="M154" i="46"/>
  <c r="I154" i="46"/>
  <c r="AC153" i="46"/>
  <c r="Y153" i="46"/>
  <c r="AC152" i="46"/>
  <c r="AC150" i="46"/>
  <c r="AC149" i="46"/>
  <c r="W148" i="46"/>
  <c r="W150" i="46" s="1"/>
  <c r="AC147" i="46"/>
  <c r="AD147" i="46" s="1"/>
  <c r="S147" i="46"/>
  <c r="R147" i="46"/>
  <c r="T147" i="46" s="1"/>
  <c r="AE147" i="46" s="1"/>
  <c r="Q147" i="46"/>
  <c r="M147" i="46"/>
  <c r="I147" i="46"/>
  <c r="AC146" i="46"/>
  <c r="Y144" i="46"/>
  <c r="AC144" i="46" s="1"/>
  <c r="AD140" i="46" s="1"/>
  <c r="AC143" i="46"/>
  <c r="AC142" i="46"/>
  <c r="W141" i="46"/>
  <c r="W143" i="46" s="1"/>
  <c r="AC140" i="46"/>
  <c r="S140" i="46"/>
  <c r="R140" i="46"/>
  <c r="Q140" i="46"/>
  <c r="T140" i="46" s="1"/>
  <c r="M140" i="46"/>
  <c r="I140" i="46"/>
  <c r="AC134" i="46"/>
  <c r="AC132" i="46"/>
  <c r="W131" i="46"/>
  <c r="W132" i="46" s="1"/>
  <c r="AC130" i="46"/>
  <c r="W129" i="46"/>
  <c r="W130" i="46" s="1"/>
  <c r="AC128" i="46"/>
  <c r="AC127" i="46"/>
  <c r="W127" i="46"/>
  <c r="AC126" i="46"/>
  <c r="AD123" i="46" s="1"/>
  <c r="AC124" i="46"/>
  <c r="W123" i="46"/>
  <c r="S123" i="46"/>
  <c r="Q123" i="46"/>
  <c r="R123" i="46" s="1"/>
  <c r="T123" i="46" s="1"/>
  <c r="AE123" i="46" s="1"/>
  <c r="M123" i="46"/>
  <c r="I123" i="46"/>
  <c r="AC122" i="46"/>
  <c r="W121" i="46"/>
  <c r="AC120" i="46"/>
  <c r="AD119" i="46"/>
  <c r="W119" i="46"/>
  <c r="S119" i="46"/>
  <c r="Q119" i="46"/>
  <c r="R119" i="46" s="1"/>
  <c r="T119" i="46" s="1"/>
  <c r="AE119" i="46" s="1"/>
  <c r="M119" i="46"/>
  <c r="I119" i="46"/>
  <c r="AC115" i="46"/>
  <c r="W114" i="46"/>
  <c r="AC113" i="46"/>
  <c r="W112" i="46"/>
  <c r="AC111" i="46"/>
  <c r="W110" i="46"/>
  <c r="AC109" i="46"/>
  <c r="AD108" i="46" s="1"/>
  <c r="W108" i="46"/>
  <c r="S108" i="46"/>
  <c r="Q108" i="46"/>
  <c r="R108" i="46" s="1"/>
  <c r="T108" i="46" s="1"/>
  <c r="AE108" i="46" s="1"/>
  <c r="M108" i="46"/>
  <c r="I108" i="46"/>
  <c r="AC104" i="46"/>
  <c r="AC102" i="46"/>
  <c r="AC100" i="46"/>
  <c r="W99" i="46"/>
  <c r="AC98" i="46"/>
  <c r="AD97" i="46" s="1"/>
  <c r="W97" i="46"/>
  <c r="I97" i="46"/>
  <c r="AC95" i="46"/>
  <c r="AC93" i="46"/>
  <c r="W92" i="46"/>
  <c r="AC91" i="46"/>
  <c r="W90" i="46"/>
  <c r="AC89" i="46"/>
  <c r="AC87" i="46"/>
  <c r="AD86" i="46" s="1"/>
  <c r="W86" i="46"/>
  <c r="S86" i="46"/>
  <c r="Q86" i="46"/>
  <c r="R86" i="46" s="1"/>
  <c r="T86" i="46" s="1"/>
  <c r="AE86" i="46" s="1"/>
  <c r="J86" i="46"/>
  <c r="M86" i="46" s="1"/>
  <c r="I86" i="46"/>
  <c r="AC84" i="46"/>
  <c r="AC82" i="46"/>
  <c r="W81" i="46"/>
  <c r="AC80" i="46"/>
  <c r="AC78" i="46"/>
  <c r="AD77" i="46" s="1"/>
  <c r="W77" i="46"/>
  <c r="S77" i="46"/>
  <c r="Q77" i="46"/>
  <c r="R77" i="46" s="1"/>
  <c r="T77" i="46" s="1"/>
  <c r="AE77" i="46" s="1"/>
  <c r="M77" i="46"/>
  <c r="I77" i="46"/>
  <c r="AC75" i="46"/>
  <c r="AC74" i="46"/>
  <c r="AC73" i="46"/>
  <c r="AC72" i="46"/>
  <c r="Y72" i="46"/>
  <c r="AF71" i="46"/>
  <c r="AC71" i="46"/>
  <c r="AC70" i="46"/>
  <c r="AF69" i="46"/>
  <c r="AC69" i="46"/>
  <c r="AD69" i="46" s="1"/>
  <c r="W69" i="46"/>
  <c r="S69" i="46"/>
  <c r="R69" i="46"/>
  <c r="T69" i="46" s="1"/>
  <c r="Q69" i="46"/>
  <c r="M69" i="46"/>
  <c r="I69" i="46"/>
  <c r="AC68" i="46"/>
  <c r="AC67" i="46"/>
  <c r="AC66" i="46"/>
  <c r="W66" i="46"/>
  <c r="AC65" i="46"/>
  <c r="AF64" i="46"/>
  <c r="AF191" i="46" s="1"/>
  <c r="AC64" i="46"/>
  <c r="AD64" i="46" s="1"/>
  <c r="W64" i="46"/>
  <c r="S64" i="46"/>
  <c r="R64" i="46"/>
  <c r="Q64" i="46"/>
  <c r="T64" i="46" s="1"/>
  <c r="M64" i="46"/>
  <c r="I64" i="46"/>
  <c r="AC62" i="46"/>
  <c r="W62" i="46"/>
  <c r="AC61" i="46"/>
  <c r="W60" i="46"/>
  <c r="AC59" i="46"/>
  <c r="AD59" i="46" s="1"/>
  <c r="S59" i="46"/>
  <c r="Q59" i="46"/>
  <c r="R59" i="46" s="1"/>
  <c r="T59" i="46" s="1"/>
  <c r="AE59" i="46" s="1"/>
  <c r="M59" i="46"/>
  <c r="I59" i="46"/>
  <c r="AD58" i="46"/>
  <c r="AC58" i="46"/>
  <c r="I58" i="46"/>
  <c r="AC57" i="46"/>
  <c r="AC48" i="46"/>
  <c r="AC47" i="46"/>
  <c r="W47" i="46"/>
  <c r="W46" i="46"/>
  <c r="AC45" i="46"/>
  <c r="AC44" i="46"/>
  <c r="W44" i="46"/>
  <c r="AC43" i="46"/>
  <c r="W42" i="46"/>
  <c r="AC41" i="46"/>
  <c r="AD41" i="46" s="1"/>
  <c r="S41" i="46"/>
  <c r="J41" i="46"/>
  <c r="Q41" i="46" s="1"/>
  <c r="I41" i="46"/>
  <c r="AC40" i="46"/>
  <c r="AC39" i="46"/>
  <c r="AC38" i="46"/>
  <c r="AC37" i="46"/>
  <c r="AC36" i="46"/>
  <c r="AC35" i="46"/>
  <c r="AC34" i="46"/>
  <c r="AC33" i="46"/>
  <c r="W32" i="46"/>
  <c r="AC31" i="46"/>
  <c r="W31" i="46"/>
  <c r="AC30" i="46"/>
  <c r="AC29" i="46"/>
  <c r="AC28" i="46"/>
  <c r="AD27" i="46" s="1"/>
  <c r="W27" i="46"/>
  <c r="S27" i="46"/>
  <c r="R27" i="46"/>
  <c r="Q27" i="46"/>
  <c r="T27" i="46" s="1"/>
  <c r="M27" i="46"/>
  <c r="I27" i="46"/>
  <c r="AC25" i="46"/>
  <c r="AD25" i="46" s="1"/>
  <c r="P25" i="46"/>
  <c r="Q25" i="46" s="1"/>
  <c r="R25" i="46" s="1"/>
  <c r="N25" i="46"/>
  <c r="S25" i="46" s="1"/>
  <c r="T25" i="46" s="1"/>
  <c r="M25" i="46"/>
  <c r="I25" i="46"/>
  <c r="Y22" i="46"/>
  <c r="Z21" i="46"/>
  <c r="AC21" i="46" s="1"/>
  <c r="X21" i="46"/>
  <c r="Z20" i="46"/>
  <c r="AC20" i="46" s="1"/>
  <c r="X20" i="46"/>
  <c r="Z19" i="46"/>
  <c r="AC19" i="46" s="1"/>
  <c r="X19" i="46"/>
  <c r="X18" i="46"/>
  <c r="W18" i="46"/>
  <c r="W20" i="46" s="1"/>
  <c r="I18" i="46"/>
  <c r="AC17" i="46"/>
  <c r="Z16" i="46"/>
  <c r="AC16" i="46" s="1"/>
  <c r="X16" i="46"/>
  <c r="Z15" i="46"/>
  <c r="AC15" i="46" s="1"/>
  <c r="AD14" i="46" s="1"/>
  <c r="X15" i="46"/>
  <c r="X14" i="46"/>
  <c r="W14" i="46"/>
  <c r="W16" i="46" s="1"/>
  <c r="S14" i="46"/>
  <c r="Q14" i="46"/>
  <c r="R14" i="46" s="1"/>
  <c r="T14" i="46" s="1"/>
  <c r="J14" i="46"/>
  <c r="J191" i="46" s="1"/>
  <c r="I14" i="46"/>
  <c r="AC13" i="46"/>
  <c r="AD13" i="46" s="1"/>
  <c r="P13" i="46"/>
  <c r="Q13" i="46" s="1"/>
  <c r="R13" i="46" s="1"/>
  <c r="N13" i="46"/>
  <c r="S13" i="46" s="1"/>
  <c r="T13" i="46" s="1"/>
  <c r="M13" i="46"/>
  <c r="I13" i="46"/>
  <c r="AC12" i="46"/>
  <c r="AC11" i="46"/>
  <c r="AD11" i="46" s="1"/>
  <c r="P11" i="46"/>
  <c r="Q11" i="46" s="1"/>
  <c r="R11" i="46" s="1"/>
  <c r="N11" i="46"/>
  <c r="S11" i="46" s="1"/>
  <c r="M11" i="46"/>
  <c r="I11" i="46"/>
  <c r="AD10" i="46"/>
  <c r="AC10" i="46"/>
  <c r="Q10" i="46"/>
  <c r="R10" i="46" s="1"/>
  <c r="P10" i="46"/>
  <c r="M10" i="46"/>
  <c r="N10" i="46" s="1"/>
  <c r="S10" i="46" s="1"/>
  <c r="T10" i="46" s="1"/>
  <c r="AE10" i="46" s="1"/>
  <c r="I10" i="46"/>
  <c r="AD9" i="46"/>
  <c r="AC9" i="46"/>
  <c r="P9" i="46"/>
  <c r="Q9" i="46" s="1"/>
  <c r="M9" i="46"/>
  <c r="N9" i="46" s="1"/>
  <c r="S9" i="46" s="1"/>
  <c r="I9" i="46"/>
  <c r="I191" i="46" s="1"/>
  <c r="S6" i="46"/>
  <c r="R6" i="46"/>
  <c r="R41" i="46" l="1"/>
  <c r="T41" i="46" s="1"/>
  <c r="AE41" i="46" s="1"/>
  <c r="AE25" i="46"/>
  <c r="AE179" i="46"/>
  <c r="AE140" i="46"/>
  <c r="AE14" i="46"/>
  <c r="AE64" i="46"/>
  <c r="AE13" i="46"/>
  <c r="S191" i="46"/>
  <c r="T9" i="46"/>
  <c r="AE9" i="46" s="1"/>
  <c r="T11" i="46"/>
  <c r="AE11" i="46" s="1"/>
  <c r="AD18" i="46"/>
  <c r="Q191" i="46"/>
  <c r="R9" i="46"/>
  <c r="R191" i="46" s="1"/>
  <c r="AE27" i="46"/>
  <c r="AE69" i="46"/>
  <c r="AE167" i="46"/>
  <c r="M41" i="46"/>
  <c r="AD191" i="46"/>
  <c r="M14" i="46"/>
  <c r="AI191" i="45"/>
  <c r="AH191" i="45"/>
  <c r="AG191" i="45"/>
  <c r="O191" i="45"/>
  <c r="L191" i="45"/>
  <c r="H191" i="45"/>
  <c r="F191" i="45"/>
  <c r="AC190" i="45"/>
  <c r="AC189" i="45"/>
  <c r="AC188" i="45"/>
  <c r="AC187" i="45"/>
  <c r="W187" i="45"/>
  <c r="AC186" i="45"/>
  <c r="AC185" i="45"/>
  <c r="W185" i="45"/>
  <c r="AC184" i="45"/>
  <c r="AF183" i="45"/>
  <c r="AC183" i="45"/>
  <c r="AC182" i="45"/>
  <c r="AF181" i="45"/>
  <c r="AC181" i="45"/>
  <c r="AC180" i="45"/>
  <c r="AF179" i="45"/>
  <c r="AD179" i="45"/>
  <c r="AC179" i="45"/>
  <c r="W179" i="45"/>
  <c r="S179" i="45"/>
  <c r="Q179" i="45"/>
  <c r="M179" i="45"/>
  <c r="I179" i="45"/>
  <c r="AC178" i="45"/>
  <c r="AC176" i="45"/>
  <c r="AC175" i="45"/>
  <c r="AC174" i="45"/>
  <c r="AD167" i="45" s="1"/>
  <c r="AC173" i="45"/>
  <c r="W173" i="45"/>
  <c r="AC172" i="45"/>
  <c r="AC171" i="45"/>
  <c r="AC170" i="45"/>
  <c r="Y170" i="45"/>
  <c r="AC169" i="45"/>
  <c r="W169" i="45"/>
  <c r="AC168" i="45"/>
  <c r="AF167" i="45"/>
  <c r="AC167" i="45"/>
  <c r="W167" i="45"/>
  <c r="S167" i="45"/>
  <c r="R167" i="45"/>
  <c r="Q167" i="45"/>
  <c r="T167" i="45" s="1"/>
  <c r="AE167" i="45" s="1"/>
  <c r="M167" i="45"/>
  <c r="I167" i="45"/>
  <c r="AC166" i="45"/>
  <c r="AD166" i="45" s="1"/>
  <c r="I166" i="45"/>
  <c r="AC165" i="45"/>
  <c r="AD163" i="45" s="1"/>
  <c r="W164" i="45"/>
  <c r="AC163" i="45"/>
  <c r="S163" i="45"/>
  <c r="Q163" i="45"/>
  <c r="R163" i="45" s="1"/>
  <c r="T163" i="45" s="1"/>
  <c r="J163" i="45"/>
  <c r="M163" i="45" s="1"/>
  <c r="I163" i="45"/>
  <c r="AC162" i="45"/>
  <c r="AD161" i="45" s="1"/>
  <c r="AC161" i="45"/>
  <c r="S161" i="45"/>
  <c r="R161" i="45"/>
  <c r="T161" i="45" s="1"/>
  <c r="AE161" i="45" s="1"/>
  <c r="Q161" i="45"/>
  <c r="M161" i="45"/>
  <c r="I161" i="45"/>
  <c r="AC160" i="45"/>
  <c r="Y158" i="45"/>
  <c r="AC158" i="45" s="1"/>
  <c r="AD154" i="45" s="1"/>
  <c r="AC157" i="45"/>
  <c r="W157" i="45"/>
  <c r="AC156" i="45"/>
  <c r="W155" i="45"/>
  <c r="AC154" i="45"/>
  <c r="S154" i="45"/>
  <c r="Q154" i="45"/>
  <c r="M154" i="45"/>
  <c r="I154" i="45"/>
  <c r="AC153" i="45"/>
  <c r="Y153" i="45"/>
  <c r="AC152" i="45"/>
  <c r="AC150" i="45"/>
  <c r="W150" i="45"/>
  <c r="AC149" i="45"/>
  <c r="W148" i="45"/>
  <c r="AC147" i="45"/>
  <c r="AD147" i="45" s="1"/>
  <c r="T147" i="45"/>
  <c r="AE147" i="45" s="1"/>
  <c r="S147" i="45"/>
  <c r="R147" i="45"/>
  <c r="Q147" i="45"/>
  <c r="M147" i="45"/>
  <c r="I147" i="45"/>
  <c r="AC146" i="45"/>
  <c r="Y144" i="45"/>
  <c r="AC144" i="45" s="1"/>
  <c r="AD140" i="45" s="1"/>
  <c r="AC143" i="45"/>
  <c r="AC142" i="45"/>
  <c r="W141" i="45"/>
  <c r="W143" i="45" s="1"/>
  <c r="AC140" i="45"/>
  <c r="S140" i="45"/>
  <c r="R140" i="45"/>
  <c r="T140" i="45" s="1"/>
  <c r="AE140" i="45" s="1"/>
  <c r="Q140" i="45"/>
  <c r="M140" i="45"/>
  <c r="I140" i="45"/>
  <c r="AC134" i="45"/>
  <c r="AC132" i="45"/>
  <c r="W132" i="45"/>
  <c r="W131" i="45"/>
  <c r="AC130" i="45"/>
  <c r="W130" i="45"/>
  <c r="W129" i="45"/>
  <c r="AC128" i="45"/>
  <c r="AD123" i="45" s="1"/>
  <c r="AC127" i="45"/>
  <c r="W127" i="45"/>
  <c r="AC126" i="45"/>
  <c r="AC124" i="45"/>
  <c r="W123" i="45"/>
  <c r="S123" i="45"/>
  <c r="R123" i="45"/>
  <c r="Q123" i="45"/>
  <c r="T123" i="45" s="1"/>
  <c r="M123" i="45"/>
  <c r="I123" i="45"/>
  <c r="AC122" i="45"/>
  <c r="W121" i="45"/>
  <c r="AC120" i="45"/>
  <c r="AD119" i="45"/>
  <c r="W119" i="45"/>
  <c r="S119" i="45"/>
  <c r="R119" i="45"/>
  <c r="Q119" i="45"/>
  <c r="T119" i="45" s="1"/>
  <c r="AE119" i="45" s="1"/>
  <c r="M119" i="45"/>
  <c r="I119" i="45"/>
  <c r="AC115" i="45"/>
  <c r="W114" i="45"/>
  <c r="AC113" i="45"/>
  <c r="W112" i="45"/>
  <c r="AC111" i="45"/>
  <c r="AD108" i="45" s="1"/>
  <c r="W110" i="45"/>
  <c r="AC109" i="45"/>
  <c r="W108" i="45"/>
  <c r="S108" i="45"/>
  <c r="Q108" i="45"/>
  <c r="R108" i="45" s="1"/>
  <c r="T108" i="45" s="1"/>
  <c r="M108" i="45"/>
  <c r="I108" i="45"/>
  <c r="AC104" i="45"/>
  <c r="AC102" i="45"/>
  <c r="AC100" i="45"/>
  <c r="W99" i="45"/>
  <c r="AC98" i="45"/>
  <c r="AD97" i="45" s="1"/>
  <c r="W97" i="45"/>
  <c r="I97" i="45"/>
  <c r="AC95" i="45"/>
  <c r="AC93" i="45"/>
  <c r="W92" i="45"/>
  <c r="AC91" i="45"/>
  <c r="W90" i="45"/>
  <c r="AC89" i="45"/>
  <c r="AD86" i="45" s="1"/>
  <c r="AC87" i="45"/>
  <c r="W86" i="45"/>
  <c r="S86" i="45"/>
  <c r="Q86" i="45"/>
  <c r="R86" i="45" s="1"/>
  <c r="T86" i="45" s="1"/>
  <c r="AE86" i="45" s="1"/>
  <c r="J86" i="45"/>
  <c r="M86" i="45" s="1"/>
  <c r="I86" i="45"/>
  <c r="AC84" i="45"/>
  <c r="AD77" i="45" s="1"/>
  <c r="AC82" i="45"/>
  <c r="W81" i="45"/>
  <c r="AC80" i="45"/>
  <c r="AC78" i="45"/>
  <c r="W77" i="45"/>
  <c r="S77" i="45"/>
  <c r="Q77" i="45"/>
  <c r="M77" i="45"/>
  <c r="I77" i="45"/>
  <c r="AC75" i="45"/>
  <c r="AC74" i="45"/>
  <c r="AC73" i="45"/>
  <c r="AC72" i="45"/>
  <c r="Y72" i="45"/>
  <c r="AF71" i="45"/>
  <c r="AC71" i="45"/>
  <c r="AC70" i="45"/>
  <c r="AF69" i="45"/>
  <c r="AD69" i="45"/>
  <c r="AC69" i="45"/>
  <c r="W69" i="45"/>
  <c r="S69" i="45"/>
  <c r="R69" i="45"/>
  <c r="T69" i="45" s="1"/>
  <c r="AE69" i="45" s="1"/>
  <c r="Q69" i="45"/>
  <c r="M69" i="45"/>
  <c r="I69" i="45"/>
  <c r="AC68" i="45"/>
  <c r="AC67" i="45"/>
  <c r="AC66" i="45"/>
  <c r="W66" i="45"/>
  <c r="AC65" i="45"/>
  <c r="AF64" i="45"/>
  <c r="AF191" i="45" s="1"/>
  <c r="AC64" i="45"/>
  <c r="AD64" i="45" s="1"/>
  <c r="W64" i="45"/>
  <c r="S64" i="45"/>
  <c r="R64" i="45"/>
  <c r="Q64" i="45"/>
  <c r="T64" i="45" s="1"/>
  <c r="M64" i="45"/>
  <c r="I64" i="45"/>
  <c r="AC62" i="45"/>
  <c r="W62" i="45"/>
  <c r="AC61" i="45"/>
  <c r="AD59" i="45" s="1"/>
  <c r="W60" i="45"/>
  <c r="AC59" i="45"/>
  <c r="S59" i="45"/>
  <c r="Q59" i="45"/>
  <c r="M59" i="45"/>
  <c r="I59" i="45"/>
  <c r="AD58" i="45"/>
  <c r="AC58" i="45"/>
  <c r="I58" i="45"/>
  <c r="AC57" i="45"/>
  <c r="AC48" i="45"/>
  <c r="AC47" i="45"/>
  <c r="W47" i="45"/>
  <c r="W46" i="45"/>
  <c r="AC45" i="45"/>
  <c r="AC44" i="45"/>
  <c r="W44" i="45"/>
  <c r="AC43" i="45"/>
  <c r="W42" i="45"/>
  <c r="AC41" i="45"/>
  <c r="AD41" i="45" s="1"/>
  <c r="S41" i="45"/>
  <c r="J41" i="45"/>
  <c r="J191" i="45" s="1"/>
  <c r="I41" i="45"/>
  <c r="AC40" i="45"/>
  <c r="AC39" i="45"/>
  <c r="AC38" i="45"/>
  <c r="AC37" i="45"/>
  <c r="AC36" i="45"/>
  <c r="AC35" i="45"/>
  <c r="AC34" i="45"/>
  <c r="AC33" i="45"/>
  <c r="W32" i="45"/>
  <c r="AC31" i="45"/>
  <c r="W31" i="45"/>
  <c r="AC30" i="45"/>
  <c r="AC29" i="45"/>
  <c r="AC28" i="45"/>
  <c r="AD27" i="45" s="1"/>
  <c r="W27" i="45"/>
  <c r="T27" i="45"/>
  <c r="AE27" i="45" s="1"/>
  <c r="S27" i="45"/>
  <c r="R27" i="45"/>
  <c r="Q27" i="45"/>
  <c r="M27" i="45"/>
  <c r="I27" i="45"/>
  <c r="AC25" i="45"/>
  <c r="AD25" i="45" s="1"/>
  <c r="R25" i="45"/>
  <c r="Q25" i="45"/>
  <c r="P25" i="45"/>
  <c r="N25" i="45"/>
  <c r="S25" i="45" s="1"/>
  <c r="T25" i="45" s="1"/>
  <c r="M25" i="45"/>
  <c r="I25" i="45"/>
  <c r="Y22" i="45"/>
  <c r="AC21" i="45"/>
  <c r="Z21" i="45"/>
  <c r="X21" i="45"/>
  <c r="AC20" i="45"/>
  <c r="Z20" i="45"/>
  <c r="X20" i="45"/>
  <c r="Z19" i="45"/>
  <c r="AC19" i="45" s="1"/>
  <c r="AD18" i="45" s="1"/>
  <c r="X19" i="45"/>
  <c r="X18" i="45"/>
  <c r="W18" i="45"/>
  <c r="W20" i="45" s="1"/>
  <c r="I18" i="45"/>
  <c r="AC17" i="45"/>
  <c r="AC16" i="45"/>
  <c r="Z16" i="45"/>
  <c r="X16" i="45"/>
  <c r="W16" i="45"/>
  <c r="Z15" i="45"/>
  <c r="AC15" i="45" s="1"/>
  <c r="AD14" i="45" s="1"/>
  <c r="X15" i="45"/>
  <c r="X14" i="45"/>
  <c r="W14" i="45"/>
  <c r="S14" i="45"/>
  <c r="Q14" i="45"/>
  <c r="R14" i="45" s="1"/>
  <c r="T14" i="45" s="1"/>
  <c r="AE14" i="45" s="1"/>
  <c r="M14" i="45"/>
  <c r="J14" i="45"/>
  <c r="I14" i="45"/>
  <c r="AC13" i="45"/>
  <c r="AD13" i="45" s="1"/>
  <c r="AE13" i="45" s="1"/>
  <c r="R13" i="45"/>
  <c r="Q13" i="45"/>
  <c r="P13" i="45"/>
  <c r="N13" i="45"/>
  <c r="S13" i="45" s="1"/>
  <c r="T13" i="45" s="1"/>
  <c r="M13" i="45"/>
  <c r="I13" i="45"/>
  <c r="AC12" i="45"/>
  <c r="AC11" i="45"/>
  <c r="AD11" i="45" s="1"/>
  <c r="AE11" i="45" s="1"/>
  <c r="R11" i="45"/>
  <c r="Q11" i="45"/>
  <c r="P11" i="45"/>
  <c r="N11" i="45"/>
  <c r="S11" i="45" s="1"/>
  <c r="T11" i="45" s="1"/>
  <c r="M11" i="45"/>
  <c r="I11" i="45"/>
  <c r="AD10" i="45"/>
  <c r="AC10" i="45"/>
  <c r="Q10" i="45"/>
  <c r="R10" i="45" s="1"/>
  <c r="P10" i="45"/>
  <c r="M10" i="45"/>
  <c r="N10" i="45" s="1"/>
  <c r="S10" i="45" s="1"/>
  <c r="T10" i="45" s="1"/>
  <c r="AE10" i="45" s="1"/>
  <c r="I10" i="45"/>
  <c r="AD9" i="45"/>
  <c r="AC9" i="45"/>
  <c r="P9" i="45"/>
  <c r="Q9" i="45" s="1"/>
  <c r="N9" i="45"/>
  <c r="S9" i="45" s="1"/>
  <c r="M9" i="45"/>
  <c r="I9" i="45"/>
  <c r="I191" i="45" s="1"/>
  <c r="S6" i="45"/>
  <c r="R6" i="45"/>
  <c r="AI191" i="44"/>
  <c r="AH191" i="44"/>
  <c r="AG191" i="44"/>
  <c r="O191" i="44"/>
  <c r="L191" i="44"/>
  <c r="H191" i="44"/>
  <c r="F191" i="44"/>
  <c r="AC190" i="44"/>
  <c r="AC189" i="44"/>
  <c r="AC188" i="44"/>
  <c r="AC187" i="44"/>
  <c r="W187" i="44"/>
  <c r="AC186" i="44"/>
  <c r="AC185" i="44"/>
  <c r="W185" i="44"/>
  <c r="AC184" i="44"/>
  <c r="AF183" i="44"/>
  <c r="AC183" i="44"/>
  <c r="AC182" i="44"/>
  <c r="AF181" i="44"/>
  <c r="AC181" i="44"/>
  <c r="AC180" i="44"/>
  <c r="AF179" i="44"/>
  <c r="AC179" i="44"/>
  <c r="AD179" i="44" s="1"/>
  <c r="W179" i="44"/>
  <c r="S179" i="44"/>
  <c r="Q179" i="44"/>
  <c r="R179" i="44" s="1"/>
  <c r="M179" i="44"/>
  <c r="I179" i="44"/>
  <c r="AC178" i="44"/>
  <c r="AC176" i="44"/>
  <c r="AC175" i="44"/>
  <c r="AC174" i="44"/>
  <c r="AC173" i="44"/>
  <c r="W173" i="44"/>
  <c r="AC172" i="44"/>
  <c r="AC171" i="44"/>
  <c r="Y170" i="44"/>
  <c r="AC170" i="44" s="1"/>
  <c r="AC169" i="44"/>
  <c r="W169" i="44"/>
  <c r="AC168" i="44"/>
  <c r="AF167" i="44"/>
  <c r="AC167" i="44"/>
  <c r="W167" i="44"/>
  <c r="S167" i="44"/>
  <c r="Q167" i="44"/>
  <c r="R167" i="44" s="1"/>
  <c r="M167" i="44"/>
  <c r="I167" i="44"/>
  <c r="AD166" i="44"/>
  <c r="AC166" i="44"/>
  <c r="I166" i="44"/>
  <c r="AC165" i="44"/>
  <c r="W164" i="44"/>
  <c r="AC163" i="44"/>
  <c r="AD163" i="44" s="1"/>
  <c r="S163" i="44"/>
  <c r="M163" i="44"/>
  <c r="J163" i="44"/>
  <c r="Q163" i="44" s="1"/>
  <c r="I163" i="44"/>
  <c r="AC162" i="44"/>
  <c r="AC161" i="44"/>
  <c r="AD161" i="44" s="1"/>
  <c r="S161" i="44"/>
  <c r="Q161" i="44"/>
  <c r="R161" i="44" s="1"/>
  <c r="M161" i="44"/>
  <c r="I161" i="44"/>
  <c r="AC160" i="44"/>
  <c r="Y158" i="44"/>
  <c r="AC158" i="44" s="1"/>
  <c r="AC157" i="44"/>
  <c r="AC156" i="44"/>
  <c r="W155" i="44"/>
  <c r="W157" i="44" s="1"/>
  <c r="AC154" i="44"/>
  <c r="AD154" i="44" s="1"/>
  <c r="S154" i="44"/>
  <c r="Q154" i="44"/>
  <c r="R154" i="44" s="1"/>
  <c r="T154" i="44" s="1"/>
  <c r="AE154" i="44" s="1"/>
  <c r="M154" i="44"/>
  <c r="I154" i="44"/>
  <c r="Y153" i="44"/>
  <c r="AC153" i="44" s="1"/>
  <c r="AC152" i="44"/>
  <c r="AC150" i="44"/>
  <c r="W150" i="44"/>
  <c r="AC149" i="44"/>
  <c r="W148" i="44"/>
  <c r="AC147" i="44"/>
  <c r="S147" i="44"/>
  <c r="Q147" i="44"/>
  <c r="R147" i="44" s="1"/>
  <c r="M147" i="44"/>
  <c r="I147" i="44"/>
  <c r="AC146" i="44"/>
  <c r="AC144" i="44"/>
  <c r="Y144" i="44"/>
  <c r="AC143" i="44"/>
  <c r="AC142" i="44"/>
  <c r="W141" i="44"/>
  <c r="W143" i="44" s="1"/>
  <c r="AC140" i="44"/>
  <c r="AD140" i="44" s="1"/>
  <c r="S140" i="44"/>
  <c r="Q140" i="44"/>
  <c r="R140" i="44" s="1"/>
  <c r="M140" i="44"/>
  <c r="I140" i="44"/>
  <c r="AC134" i="44"/>
  <c r="AC132" i="44"/>
  <c r="W131" i="44"/>
  <c r="W132" i="44" s="1"/>
  <c r="AC130" i="44"/>
  <c r="W129" i="44"/>
  <c r="W130" i="44" s="1"/>
  <c r="AC128" i="44"/>
  <c r="AC127" i="44"/>
  <c r="W127" i="44"/>
  <c r="AC126" i="44"/>
  <c r="AC124" i="44"/>
  <c r="AD123" i="44" s="1"/>
  <c r="W123" i="44"/>
  <c r="S123" i="44"/>
  <c r="Q123" i="44"/>
  <c r="R123" i="44" s="1"/>
  <c r="M123" i="44"/>
  <c r="I123" i="44"/>
  <c r="AC122" i="44"/>
  <c r="W121" i="44"/>
  <c r="AC120" i="44"/>
  <c r="AD119" i="44" s="1"/>
  <c r="W119" i="44"/>
  <c r="S119" i="44"/>
  <c r="Q119" i="44"/>
  <c r="R119" i="44" s="1"/>
  <c r="M119" i="44"/>
  <c r="I119" i="44"/>
  <c r="AC115" i="44"/>
  <c r="AD108" i="44" s="1"/>
  <c r="W114" i="44"/>
  <c r="AC113" i="44"/>
  <c r="W112" i="44"/>
  <c r="AC111" i="44"/>
  <c r="W110" i="44"/>
  <c r="AC109" i="44"/>
  <c r="W108" i="44"/>
  <c r="S108" i="44"/>
  <c r="R108" i="44"/>
  <c r="T108" i="44" s="1"/>
  <c r="Q108" i="44"/>
  <c r="M108" i="44"/>
  <c r="I108" i="44"/>
  <c r="AC104" i="44"/>
  <c r="AC102" i="44"/>
  <c r="AC100" i="44"/>
  <c r="W99" i="44"/>
  <c r="AC98" i="44"/>
  <c r="AD97" i="44"/>
  <c r="W97" i="44"/>
  <c r="I97" i="44"/>
  <c r="AC95" i="44"/>
  <c r="AD86" i="44" s="1"/>
  <c r="AC93" i="44"/>
  <c r="W92" i="44"/>
  <c r="AC91" i="44"/>
  <c r="W90" i="44"/>
  <c r="AC89" i="44"/>
  <c r="AC87" i="44"/>
  <c r="W86" i="44"/>
  <c r="S86" i="44"/>
  <c r="M86" i="44"/>
  <c r="J86" i="44"/>
  <c r="Q86" i="44" s="1"/>
  <c r="I86" i="44"/>
  <c r="AC84" i="44"/>
  <c r="AC82" i="44"/>
  <c r="W81" i="44"/>
  <c r="AC80" i="44"/>
  <c r="AC78" i="44"/>
  <c r="AD77" i="44"/>
  <c r="W77" i="44"/>
  <c r="S77" i="44"/>
  <c r="Q77" i="44"/>
  <c r="M77" i="44"/>
  <c r="I77" i="44"/>
  <c r="AC75" i="44"/>
  <c r="AC74" i="44"/>
  <c r="AC73" i="44"/>
  <c r="Y72" i="44"/>
  <c r="AC72" i="44" s="1"/>
  <c r="AF71" i="44"/>
  <c r="AF191" i="44" s="1"/>
  <c r="AC71" i="44"/>
  <c r="AC70" i="44"/>
  <c r="AF69" i="44"/>
  <c r="AC69" i="44"/>
  <c r="AD69" i="44" s="1"/>
  <c r="W69" i="44"/>
  <c r="S69" i="44"/>
  <c r="Q69" i="44"/>
  <c r="R69" i="44" s="1"/>
  <c r="M69" i="44"/>
  <c r="I69" i="44"/>
  <c r="AC68" i="44"/>
  <c r="AC67" i="44"/>
  <c r="AC66" i="44"/>
  <c r="W66" i="44"/>
  <c r="AC65" i="44"/>
  <c r="AF64" i="44"/>
  <c r="AC64" i="44"/>
  <c r="AD64" i="44" s="1"/>
  <c r="W64" i="44"/>
  <c r="T64" i="44"/>
  <c r="S64" i="44"/>
  <c r="R64" i="44"/>
  <c r="Q64" i="44"/>
  <c r="M64" i="44"/>
  <c r="I64" i="44"/>
  <c r="AC62" i="44"/>
  <c r="AC61" i="44"/>
  <c r="W60" i="44"/>
  <c r="W62" i="44" s="1"/>
  <c r="AC59" i="44"/>
  <c r="AD59" i="44" s="1"/>
  <c r="S59" i="44"/>
  <c r="Q59" i="44"/>
  <c r="R59" i="44" s="1"/>
  <c r="T59" i="44" s="1"/>
  <c r="M59" i="44"/>
  <c r="I59" i="44"/>
  <c r="AC58" i="44"/>
  <c r="AD58" i="44" s="1"/>
  <c r="I58" i="44"/>
  <c r="AC57" i="44"/>
  <c r="AC48" i="44"/>
  <c r="AC47" i="44"/>
  <c r="W46" i="44"/>
  <c r="W47" i="44" s="1"/>
  <c r="AC45" i="44"/>
  <c r="AC44" i="44"/>
  <c r="W44" i="44"/>
  <c r="AC43" i="44"/>
  <c r="W42" i="44"/>
  <c r="AC41" i="44"/>
  <c r="AD41" i="44" s="1"/>
  <c r="S41" i="44"/>
  <c r="Q41" i="44"/>
  <c r="R41" i="44" s="1"/>
  <c r="T41" i="44" s="1"/>
  <c r="J41" i="44"/>
  <c r="M41" i="44" s="1"/>
  <c r="I41" i="44"/>
  <c r="AC40" i="44"/>
  <c r="AC39" i="44"/>
  <c r="AC38" i="44"/>
  <c r="AC37" i="44"/>
  <c r="AC36" i="44"/>
  <c r="AC35" i="44"/>
  <c r="AC34" i="44"/>
  <c r="AD27" i="44" s="1"/>
  <c r="AC33" i="44"/>
  <c r="W32" i="44"/>
  <c r="AC31" i="44"/>
  <c r="W31" i="44"/>
  <c r="AC30" i="44"/>
  <c r="AC29" i="44"/>
  <c r="AC28" i="44"/>
  <c r="W27" i="44"/>
  <c r="S27" i="44"/>
  <c r="Q27" i="44"/>
  <c r="R27" i="44" s="1"/>
  <c r="T27" i="44" s="1"/>
  <c r="AE27" i="44" s="1"/>
  <c r="M27" i="44"/>
  <c r="I27" i="44"/>
  <c r="AC25" i="44"/>
  <c r="AD25" i="44" s="1"/>
  <c r="P25" i="44"/>
  <c r="Q25" i="44" s="1"/>
  <c r="R25" i="44" s="1"/>
  <c r="M25" i="44"/>
  <c r="N25" i="44" s="1"/>
  <c r="S25" i="44" s="1"/>
  <c r="I25" i="44"/>
  <c r="Y22" i="44"/>
  <c r="Z21" i="44"/>
  <c r="AC21" i="44" s="1"/>
  <c r="X21" i="44"/>
  <c r="Z20" i="44"/>
  <c r="AC20" i="44" s="1"/>
  <c r="X20" i="44"/>
  <c r="W20" i="44"/>
  <c r="AC19" i="44"/>
  <c r="Z19" i="44"/>
  <c r="X19" i="44"/>
  <c r="X18" i="44"/>
  <c r="W18" i="44"/>
  <c r="I18" i="44"/>
  <c r="AC17" i="44"/>
  <c r="Z16" i="44"/>
  <c r="AC16" i="44" s="1"/>
  <c r="X16" i="44"/>
  <c r="W16" i="44"/>
  <c r="AC15" i="44"/>
  <c r="AD14" i="44" s="1"/>
  <c r="Z15" i="44"/>
  <c r="X15" i="44"/>
  <c r="X14" i="44"/>
  <c r="W14" i="44"/>
  <c r="S14" i="44"/>
  <c r="Q14" i="44"/>
  <c r="J14" i="44"/>
  <c r="M14" i="44" s="1"/>
  <c r="I14" i="44"/>
  <c r="AC13" i="44"/>
  <c r="AD13" i="44" s="1"/>
  <c r="P13" i="44"/>
  <c r="Q13" i="44" s="1"/>
  <c r="R13" i="44" s="1"/>
  <c r="M13" i="44"/>
  <c r="N13" i="44" s="1"/>
  <c r="S13" i="44" s="1"/>
  <c r="T13" i="44" s="1"/>
  <c r="I13" i="44"/>
  <c r="AC12" i="44"/>
  <c r="AC11" i="44"/>
  <c r="AD11" i="44" s="1"/>
  <c r="AE11" i="44" s="1"/>
  <c r="P11" i="44"/>
  <c r="Q11" i="44" s="1"/>
  <c r="R11" i="44" s="1"/>
  <c r="M11" i="44"/>
  <c r="N11" i="44" s="1"/>
  <c r="S11" i="44" s="1"/>
  <c r="T11" i="44" s="1"/>
  <c r="I11" i="44"/>
  <c r="AD10" i="44"/>
  <c r="AC10" i="44"/>
  <c r="P10" i="44"/>
  <c r="Q10" i="44" s="1"/>
  <c r="R10" i="44" s="1"/>
  <c r="M10" i="44"/>
  <c r="N10" i="44" s="1"/>
  <c r="S10" i="44" s="1"/>
  <c r="T10" i="44" s="1"/>
  <c r="I10" i="44"/>
  <c r="AC9" i="44"/>
  <c r="AD9" i="44" s="1"/>
  <c r="P9" i="44"/>
  <c r="Q9" i="44" s="1"/>
  <c r="M9" i="44"/>
  <c r="N9" i="44" s="1"/>
  <c r="S9" i="44" s="1"/>
  <c r="I9" i="44"/>
  <c r="I191" i="44" s="1"/>
  <c r="S6" i="44"/>
  <c r="R6" i="44"/>
  <c r="AI191" i="43"/>
  <c r="AH191" i="43"/>
  <c r="AG191" i="43"/>
  <c r="AF191" i="43"/>
  <c r="O191" i="43"/>
  <c r="L191" i="43"/>
  <c r="H191" i="43"/>
  <c r="F191" i="43"/>
  <c r="AC190" i="43"/>
  <c r="AC189" i="43"/>
  <c r="AC188" i="43"/>
  <c r="AC187" i="43"/>
  <c r="W187" i="43"/>
  <c r="AC186" i="43"/>
  <c r="AC185" i="43"/>
  <c r="W185" i="43"/>
  <c r="AC184" i="43"/>
  <c r="AF183" i="43"/>
  <c r="AC183" i="43"/>
  <c r="AC182" i="43"/>
  <c r="AF181" i="43"/>
  <c r="AC181" i="43"/>
  <c r="AC180" i="43"/>
  <c r="AF179" i="43"/>
  <c r="AC179" i="43"/>
  <c r="AD179" i="43" s="1"/>
  <c r="W179" i="43"/>
  <c r="S179" i="43"/>
  <c r="Q179" i="43"/>
  <c r="R179" i="43" s="1"/>
  <c r="T179" i="43" s="1"/>
  <c r="M179" i="43"/>
  <c r="I179" i="43"/>
  <c r="AC178" i="43"/>
  <c r="AC176" i="43"/>
  <c r="AC175" i="43"/>
  <c r="AC174" i="43"/>
  <c r="AC173" i="43"/>
  <c r="W173" i="43"/>
  <c r="AC172" i="43"/>
  <c r="AC171" i="43"/>
  <c r="Y170" i="43"/>
  <c r="AC170" i="43" s="1"/>
  <c r="AC169" i="43"/>
  <c r="W169" i="43"/>
  <c r="AC168" i="43"/>
  <c r="AF167" i="43"/>
  <c r="AC167" i="43"/>
  <c r="AD167" i="43" s="1"/>
  <c r="W167" i="43"/>
  <c r="S167" i="43"/>
  <c r="Q167" i="43"/>
  <c r="R167" i="43" s="1"/>
  <c r="T167" i="43" s="1"/>
  <c r="AE167" i="43" s="1"/>
  <c r="M167" i="43"/>
  <c r="I167" i="43"/>
  <c r="AC166" i="43"/>
  <c r="AD166" i="43" s="1"/>
  <c r="I166" i="43"/>
  <c r="AC165" i="43"/>
  <c r="W164" i="43"/>
  <c r="AD163" i="43"/>
  <c r="AC163" i="43"/>
  <c r="S163" i="43"/>
  <c r="J163" i="43"/>
  <c r="Q163" i="43" s="1"/>
  <c r="I163" i="43"/>
  <c r="AC162" i="43"/>
  <c r="AC161" i="43"/>
  <c r="AD161" i="43" s="1"/>
  <c r="S161" i="43"/>
  <c r="Q161" i="43"/>
  <c r="M161" i="43"/>
  <c r="I161" i="43"/>
  <c r="AC160" i="43"/>
  <c r="AC158" i="43"/>
  <c r="Y158" i="43"/>
  <c r="AC157" i="43"/>
  <c r="W157" i="43"/>
  <c r="AC156" i="43"/>
  <c r="W155" i="43"/>
  <c r="AC154" i="43"/>
  <c r="AD154" i="43" s="1"/>
  <c r="S154" i="43"/>
  <c r="Q154" i="43"/>
  <c r="M154" i="43"/>
  <c r="I154" i="43"/>
  <c r="Y153" i="43"/>
  <c r="AC153" i="43" s="1"/>
  <c r="AC152" i="43"/>
  <c r="AC150" i="43"/>
  <c r="AC149" i="43"/>
  <c r="W148" i="43"/>
  <c r="W150" i="43" s="1"/>
  <c r="AC147" i="43"/>
  <c r="AD147" i="43" s="1"/>
  <c r="S147" i="43"/>
  <c r="Q147" i="43"/>
  <c r="M147" i="43"/>
  <c r="I147" i="43"/>
  <c r="AC146" i="43"/>
  <c r="Y144" i="43"/>
  <c r="AC144" i="43" s="1"/>
  <c r="AC143" i="43"/>
  <c r="W143" i="43"/>
  <c r="AC142" i="43"/>
  <c r="W141" i="43"/>
  <c r="AC140" i="43"/>
  <c r="AD140" i="43" s="1"/>
  <c r="S140" i="43"/>
  <c r="Q140" i="43"/>
  <c r="M140" i="43"/>
  <c r="I140" i="43"/>
  <c r="AC134" i="43"/>
  <c r="AC132" i="43"/>
  <c r="W131" i="43"/>
  <c r="W132" i="43" s="1"/>
  <c r="AC130" i="43"/>
  <c r="W130" i="43"/>
  <c r="W129" i="43"/>
  <c r="AC128" i="43"/>
  <c r="AC127" i="43"/>
  <c r="W127" i="43"/>
  <c r="AC126" i="43"/>
  <c r="AC124" i="43"/>
  <c r="AD123" i="43"/>
  <c r="W123" i="43"/>
  <c r="S123" i="43"/>
  <c r="R123" i="43"/>
  <c r="T123" i="43" s="1"/>
  <c r="AE123" i="43" s="1"/>
  <c r="Q123" i="43"/>
  <c r="M123" i="43"/>
  <c r="I123" i="43"/>
  <c r="AC122" i="43"/>
  <c r="W121" i="43"/>
  <c r="AC120" i="43"/>
  <c r="AD119" i="43"/>
  <c r="W119" i="43"/>
  <c r="S119" i="43"/>
  <c r="R119" i="43"/>
  <c r="T119" i="43" s="1"/>
  <c r="AE119" i="43" s="1"/>
  <c r="Q119" i="43"/>
  <c r="M119" i="43"/>
  <c r="I119" i="43"/>
  <c r="AC115" i="43"/>
  <c r="W114" i="43"/>
  <c r="AC113" i="43"/>
  <c r="W112" i="43"/>
  <c r="AC111" i="43"/>
  <c r="AD108" i="43" s="1"/>
  <c r="W110" i="43"/>
  <c r="AC109" i="43"/>
  <c r="W108" i="43"/>
  <c r="S108" i="43"/>
  <c r="Q108" i="43"/>
  <c r="M108" i="43"/>
  <c r="I108" i="43"/>
  <c r="AC104" i="43"/>
  <c r="AC102" i="43"/>
  <c r="AC100" i="43"/>
  <c r="W99" i="43"/>
  <c r="AC98" i="43"/>
  <c r="AD97" i="43" s="1"/>
  <c r="W97" i="43"/>
  <c r="I97" i="43"/>
  <c r="AC95" i="43"/>
  <c r="AC93" i="43"/>
  <c r="W92" i="43"/>
  <c r="AC91" i="43"/>
  <c r="AD86" i="43" s="1"/>
  <c r="W90" i="43"/>
  <c r="AC89" i="43"/>
  <c r="AC87" i="43"/>
  <c r="W86" i="43"/>
  <c r="S86" i="43"/>
  <c r="J86" i="43"/>
  <c r="Q86" i="43" s="1"/>
  <c r="I86" i="43"/>
  <c r="AC84" i="43"/>
  <c r="AC82" i="43"/>
  <c r="W81" i="43"/>
  <c r="AC80" i="43"/>
  <c r="AD77" i="43" s="1"/>
  <c r="AC78" i="43"/>
  <c r="W77" i="43"/>
  <c r="S77" i="43"/>
  <c r="Q77" i="43"/>
  <c r="M77" i="43"/>
  <c r="I77" i="43"/>
  <c r="AC75" i="43"/>
  <c r="AC74" i="43"/>
  <c r="AC73" i="43"/>
  <c r="Y72" i="43"/>
  <c r="AC72" i="43" s="1"/>
  <c r="AF71" i="43"/>
  <c r="AC71" i="43"/>
  <c r="AC70" i="43"/>
  <c r="AF69" i="43"/>
  <c r="AC69" i="43"/>
  <c r="W69" i="43"/>
  <c r="S69" i="43"/>
  <c r="Q69" i="43"/>
  <c r="R69" i="43" s="1"/>
  <c r="T69" i="43" s="1"/>
  <c r="M69" i="43"/>
  <c r="I69" i="43"/>
  <c r="AC68" i="43"/>
  <c r="AC67" i="43"/>
  <c r="AC66" i="43"/>
  <c r="W66" i="43"/>
  <c r="AC65" i="43"/>
  <c r="AD64" i="43" s="1"/>
  <c r="AF64" i="43"/>
  <c r="AC64" i="43"/>
  <c r="W64" i="43"/>
  <c r="S64" i="43"/>
  <c r="Q64" i="43"/>
  <c r="M64" i="43"/>
  <c r="I64" i="43"/>
  <c r="AC62" i="43"/>
  <c r="W62" i="43"/>
  <c r="AC61" i="43"/>
  <c r="W60" i="43"/>
  <c r="AC59" i="43"/>
  <c r="AD59" i="43" s="1"/>
  <c r="S59" i="43"/>
  <c r="Q59" i="43"/>
  <c r="M59" i="43"/>
  <c r="I59" i="43"/>
  <c r="AC58" i="43"/>
  <c r="AD58" i="43" s="1"/>
  <c r="I58" i="43"/>
  <c r="AC57" i="43"/>
  <c r="AC48" i="43"/>
  <c r="AC47" i="43"/>
  <c r="W47" i="43"/>
  <c r="W46" i="43"/>
  <c r="AC45" i="43"/>
  <c r="AC44" i="43"/>
  <c r="W44" i="43"/>
  <c r="AC43" i="43"/>
  <c r="AD41" i="43" s="1"/>
  <c r="W42" i="43"/>
  <c r="AC41" i="43"/>
  <c r="S41" i="43"/>
  <c r="J41" i="43"/>
  <c r="M41" i="43" s="1"/>
  <c r="I41" i="43"/>
  <c r="AC40" i="43"/>
  <c r="AC39" i="43"/>
  <c r="AC38" i="43"/>
  <c r="AC37" i="43"/>
  <c r="AC36" i="43"/>
  <c r="AC35" i="43"/>
  <c r="AC34" i="43"/>
  <c r="AC33" i="43"/>
  <c r="W32" i="43"/>
  <c r="AC31" i="43"/>
  <c r="W31" i="43"/>
  <c r="AC30" i="43"/>
  <c r="AC29" i="43"/>
  <c r="AC28" i="43"/>
  <c r="AD27" i="43" s="1"/>
  <c r="W27" i="43"/>
  <c r="S27" i="43"/>
  <c r="R27" i="43"/>
  <c r="Q27" i="43"/>
  <c r="T27" i="43" s="1"/>
  <c r="M27" i="43"/>
  <c r="I27" i="43"/>
  <c r="AD25" i="43"/>
  <c r="AC25" i="43"/>
  <c r="P25" i="43"/>
  <c r="Q25" i="43" s="1"/>
  <c r="R25" i="43" s="1"/>
  <c r="M25" i="43"/>
  <c r="N25" i="43" s="1"/>
  <c r="S25" i="43" s="1"/>
  <c r="T25" i="43" s="1"/>
  <c r="I25" i="43"/>
  <c r="Y22" i="43"/>
  <c r="Z21" i="43"/>
  <c r="AC21" i="43" s="1"/>
  <c r="X21" i="43"/>
  <c r="AC20" i="43"/>
  <c r="Z20" i="43"/>
  <c r="X20" i="43"/>
  <c r="W20" i="43"/>
  <c r="Z19" i="43"/>
  <c r="AC19" i="43" s="1"/>
  <c r="AD18" i="43" s="1"/>
  <c r="X19" i="43"/>
  <c r="X18" i="43"/>
  <c r="W18" i="43"/>
  <c r="I18" i="43"/>
  <c r="AC17" i="43"/>
  <c r="AC16" i="43"/>
  <c r="Z16" i="43"/>
  <c r="X16" i="43"/>
  <c r="Z15" i="43"/>
  <c r="AC15" i="43" s="1"/>
  <c r="AD14" i="43" s="1"/>
  <c r="X15" i="43"/>
  <c r="X14" i="43"/>
  <c r="W14" i="43"/>
  <c r="W16" i="43" s="1"/>
  <c r="S14" i="43"/>
  <c r="Q14" i="43"/>
  <c r="R14" i="43" s="1"/>
  <c r="T14" i="43" s="1"/>
  <c r="AE14" i="43" s="1"/>
  <c r="J14" i="43"/>
  <c r="M14" i="43" s="1"/>
  <c r="I14" i="43"/>
  <c r="AC13" i="43"/>
  <c r="AD13" i="43" s="1"/>
  <c r="AE13" i="43" s="1"/>
  <c r="Q13" i="43"/>
  <c r="R13" i="43" s="1"/>
  <c r="P13" i="43"/>
  <c r="M13" i="43"/>
  <c r="N13" i="43" s="1"/>
  <c r="S13" i="43" s="1"/>
  <c r="T13" i="43" s="1"/>
  <c r="I13" i="43"/>
  <c r="AC12" i="43"/>
  <c r="AC11" i="43"/>
  <c r="AD11" i="43" s="1"/>
  <c r="Q11" i="43"/>
  <c r="R11" i="43" s="1"/>
  <c r="P11" i="43"/>
  <c r="M11" i="43"/>
  <c r="N11" i="43" s="1"/>
  <c r="S11" i="43" s="1"/>
  <c r="T11" i="43" s="1"/>
  <c r="I11" i="43"/>
  <c r="AC10" i="43"/>
  <c r="AD10" i="43" s="1"/>
  <c r="P10" i="43"/>
  <c r="Q10" i="43" s="1"/>
  <c r="R10" i="43" s="1"/>
  <c r="M10" i="43"/>
  <c r="N10" i="43" s="1"/>
  <c r="S10" i="43" s="1"/>
  <c r="I10" i="43"/>
  <c r="AC9" i="43"/>
  <c r="AD9" i="43" s="1"/>
  <c r="S9" i="43"/>
  <c r="Q9" i="43"/>
  <c r="P9" i="43"/>
  <c r="N9" i="43"/>
  <c r="M9" i="43"/>
  <c r="I9" i="43"/>
  <c r="I191" i="43" s="1"/>
  <c r="S6" i="43"/>
  <c r="R6" i="43"/>
  <c r="AE191" i="46" l="1"/>
  <c r="T191" i="46"/>
  <c r="T154" i="45"/>
  <c r="AE154" i="45" s="1"/>
  <c r="AE123" i="45"/>
  <c r="T77" i="45"/>
  <c r="AE77" i="45" s="1"/>
  <c r="AE25" i="45"/>
  <c r="AE163" i="45"/>
  <c r="AE108" i="45"/>
  <c r="AE64" i="45"/>
  <c r="S191" i="45"/>
  <c r="Q191" i="45"/>
  <c r="R9" i="45"/>
  <c r="T59" i="45"/>
  <c r="AE59" i="45" s="1"/>
  <c r="M41" i="45"/>
  <c r="R59" i="45"/>
  <c r="R77" i="45"/>
  <c r="R154" i="45"/>
  <c r="Q41" i="45"/>
  <c r="AD191" i="45"/>
  <c r="R179" i="45"/>
  <c r="T179" i="45" s="1"/>
  <c r="AE179" i="45" s="1"/>
  <c r="AE13" i="44"/>
  <c r="AD191" i="44"/>
  <c r="S191" i="44"/>
  <c r="T9" i="44"/>
  <c r="AE10" i="44"/>
  <c r="T25" i="44"/>
  <c r="AE41" i="44"/>
  <c r="AE108" i="44"/>
  <c r="AD147" i="44"/>
  <c r="R163" i="44"/>
  <c r="T163" i="44" s="1"/>
  <c r="AE163" i="44" s="1"/>
  <c r="Q191" i="44"/>
  <c r="R9" i="44"/>
  <c r="R191" i="44" s="1"/>
  <c r="AE25" i="44"/>
  <c r="T86" i="44"/>
  <c r="AE86" i="44" s="1"/>
  <c r="R86" i="44"/>
  <c r="AD167" i="44"/>
  <c r="AE64" i="44"/>
  <c r="AD18" i="44"/>
  <c r="AE59" i="44"/>
  <c r="T140" i="44"/>
  <c r="AE140" i="44" s="1"/>
  <c r="T69" i="44"/>
  <c r="AE69" i="44" s="1"/>
  <c r="T179" i="44"/>
  <c r="AE179" i="44" s="1"/>
  <c r="T119" i="44"/>
  <c r="AE119" i="44" s="1"/>
  <c r="T123" i="44"/>
  <c r="AE123" i="44" s="1"/>
  <c r="T161" i="44"/>
  <c r="AE161" i="44" s="1"/>
  <c r="J191" i="44"/>
  <c r="T147" i="44"/>
  <c r="T167" i="44"/>
  <c r="R14" i="44"/>
  <c r="T14" i="44" s="1"/>
  <c r="AE14" i="44" s="1"/>
  <c r="R77" i="44"/>
  <c r="T77" i="44" s="1"/>
  <c r="AE77" i="44" s="1"/>
  <c r="AE10" i="43"/>
  <c r="R163" i="43"/>
  <c r="T163" i="43" s="1"/>
  <c r="AE163" i="43" s="1"/>
  <c r="AE25" i="43"/>
  <c r="AE11" i="43"/>
  <c r="Q191" i="43"/>
  <c r="AE27" i="43"/>
  <c r="AD69" i="43"/>
  <c r="AD191" i="43" s="1"/>
  <c r="AE69" i="43"/>
  <c r="AE179" i="43"/>
  <c r="R86" i="43"/>
  <c r="T86" i="43"/>
  <c r="AE86" i="43" s="1"/>
  <c r="T9" i="43"/>
  <c r="AE9" i="43"/>
  <c r="T10" i="43"/>
  <c r="S191" i="43"/>
  <c r="T108" i="43"/>
  <c r="AE108" i="43" s="1"/>
  <c r="T154" i="43"/>
  <c r="AE154" i="43" s="1"/>
  <c r="T161" i="43"/>
  <c r="AE161" i="43" s="1"/>
  <c r="J191" i="43"/>
  <c r="R147" i="43"/>
  <c r="T147" i="43" s="1"/>
  <c r="AE147" i="43" s="1"/>
  <c r="R9" i="43"/>
  <c r="Q41" i="43"/>
  <c r="R64" i="43"/>
  <c r="T64" i="43" s="1"/>
  <c r="AE64" i="43" s="1"/>
  <c r="M86" i="43"/>
  <c r="M163" i="43"/>
  <c r="R108" i="43"/>
  <c r="R59" i="43"/>
  <c r="T59" i="43" s="1"/>
  <c r="AE59" i="43" s="1"/>
  <c r="R140" i="43"/>
  <c r="T140" i="43" s="1"/>
  <c r="AE140" i="43" s="1"/>
  <c r="R161" i="43"/>
  <c r="R77" i="43"/>
  <c r="T77" i="43" s="1"/>
  <c r="AE77" i="43" s="1"/>
  <c r="R154" i="43"/>
  <c r="S179" i="41"/>
  <c r="S167" i="41"/>
  <c r="S163" i="41"/>
  <c r="S161" i="41"/>
  <c r="S154" i="41"/>
  <c r="S147" i="41"/>
  <c r="S140" i="41"/>
  <c r="S123" i="41"/>
  <c r="S119" i="41"/>
  <c r="S108" i="41"/>
  <c r="S86" i="41"/>
  <c r="S77" i="41"/>
  <c r="S69" i="41"/>
  <c r="S64" i="41"/>
  <c r="S59" i="41"/>
  <c r="S41" i="41"/>
  <c r="S27" i="41"/>
  <c r="S25" i="41"/>
  <c r="S14" i="41"/>
  <c r="S13" i="41"/>
  <c r="S11" i="41"/>
  <c r="S10" i="41"/>
  <c r="S9" i="41"/>
  <c r="R191" i="45" l="1"/>
  <c r="T9" i="45"/>
  <c r="R41" i="45"/>
  <c r="T41" i="45" s="1"/>
  <c r="AE41" i="45" s="1"/>
  <c r="T191" i="44"/>
  <c r="AE167" i="44"/>
  <c r="AE9" i="44"/>
  <c r="AE147" i="44"/>
  <c r="R41" i="43"/>
  <c r="T41" i="43" s="1"/>
  <c r="R191" i="43"/>
  <c r="F191" i="41"/>
  <c r="AC190" i="41"/>
  <c r="AC189" i="41"/>
  <c r="AC188" i="41"/>
  <c r="AC187" i="41"/>
  <c r="W187" i="41"/>
  <c r="AC186" i="41"/>
  <c r="AC185" i="41"/>
  <c r="W185" i="41"/>
  <c r="AC184" i="41"/>
  <c r="AF183" i="41"/>
  <c r="AC183" i="41"/>
  <c r="AC182" i="41"/>
  <c r="AF181" i="41"/>
  <c r="AC181" i="41"/>
  <c r="AC180" i="41"/>
  <c r="AF179" i="41"/>
  <c r="AC179" i="41"/>
  <c r="AD179" i="41" s="1"/>
  <c r="W179" i="41"/>
  <c r="Q179" i="41"/>
  <c r="M179" i="41"/>
  <c r="I179" i="41"/>
  <c r="AC178" i="41"/>
  <c r="AC176" i="41"/>
  <c r="AC175" i="41"/>
  <c r="AC174" i="41"/>
  <c r="AC173" i="41"/>
  <c r="W173" i="41"/>
  <c r="AC172" i="41"/>
  <c r="AC171" i="41"/>
  <c r="Y170" i="41"/>
  <c r="AC170" i="41" s="1"/>
  <c r="AD167" i="41" s="1"/>
  <c r="AC169" i="41"/>
  <c r="W169" i="41"/>
  <c r="AC168" i="41"/>
  <c r="AF167" i="41"/>
  <c r="AC167" i="41"/>
  <c r="W167" i="41"/>
  <c r="Q167" i="41"/>
  <c r="M167" i="41"/>
  <c r="I167" i="41"/>
  <c r="AC75" i="41"/>
  <c r="AC74" i="41"/>
  <c r="AC73" i="41"/>
  <c r="Y72" i="41"/>
  <c r="AC72" i="41" s="1"/>
  <c r="AF71" i="41"/>
  <c r="AC71" i="41"/>
  <c r="AC70" i="41"/>
  <c r="AF69" i="41"/>
  <c r="AC69" i="41"/>
  <c r="W69" i="41"/>
  <c r="Q69" i="41"/>
  <c r="R69" i="41" s="1"/>
  <c r="M69" i="41"/>
  <c r="I69" i="41"/>
  <c r="AC68" i="41"/>
  <c r="AC67" i="41"/>
  <c r="AC66" i="41"/>
  <c r="W66" i="41"/>
  <c r="AC65" i="41"/>
  <c r="AF64" i="41"/>
  <c r="AC64" i="41"/>
  <c r="AD64" i="41" s="1"/>
  <c r="W64" i="41"/>
  <c r="Q64" i="41"/>
  <c r="R64" i="41" s="1"/>
  <c r="M64" i="41"/>
  <c r="I64" i="41"/>
  <c r="H191" i="41"/>
  <c r="L191" i="41"/>
  <c r="O191" i="41"/>
  <c r="AH191" i="41"/>
  <c r="AI191" i="41"/>
  <c r="AG191" i="41"/>
  <c r="T191" i="45" l="1"/>
  <c r="AE9" i="45"/>
  <c r="AE191" i="45" s="1"/>
  <c r="AE191" i="44"/>
  <c r="AE41" i="43"/>
  <c r="AE191" i="43" s="1"/>
  <c r="T191" i="43"/>
  <c r="R167" i="41"/>
  <c r="T167" i="41" s="1"/>
  <c r="AE167" i="41" s="1"/>
  <c r="R179" i="41"/>
  <c r="T179" i="41" s="1"/>
  <c r="AE179" i="41" s="1"/>
  <c r="AD69" i="41"/>
  <c r="O408" i="42" l="1"/>
  <c r="L408" i="42"/>
  <c r="K408" i="42"/>
  <c r="H408" i="42"/>
  <c r="F408" i="42"/>
  <c r="AC407" i="42"/>
  <c r="AD407" i="42" s="1"/>
  <c r="I407" i="42"/>
  <c r="AC406" i="42"/>
  <c r="W405" i="42"/>
  <c r="AC404" i="42"/>
  <c r="AD404" i="42" s="1"/>
  <c r="J404" i="42"/>
  <c r="M404" i="42" s="1"/>
  <c r="I404" i="42"/>
  <c r="AC403" i="42"/>
  <c r="AD403" i="42" s="1"/>
  <c r="Q403" i="42"/>
  <c r="M403" i="42"/>
  <c r="I403" i="42"/>
  <c r="AC397" i="42"/>
  <c r="AC396" i="42"/>
  <c r="W395" i="42"/>
  <c r="W396" i="42" s="1"/>
  <c r="Y394" i="42"/>
  <c r="AC394" i="42" s="1"/>
  <c r="AC393" i="42"/>
  <c r="W393" i="42"/>
  <c r="AC391" i="42"/>
  <c r="W390" i="42"/>
  <c r="AC389" i="42"/>
  <c r="AC388" i="42"/>
  <c r="AD388" i="42" s="1"/>
  <c r="Q388" i="42"/>
  <c r="M388" i="42"/>
  <c r="I388" i="42"/>
  <c r="AC387" i="42"/>
  <c r="AC386" i="42"/>
  <c r="AD386" i="42" s="1"/>
  <c r="Q386" i="42"/>
  <c r="M386" i="42"/>
  <c r="I386" i="42"/>
  <c r="AC385" i="42"/>
  <c r="AC383" i="42"/>
  <c r="Y383" i="42"/>
  <c r="AC382" i="42"/>
  <c r="AC381" i="42"/>
  <c r="W380" i="42"/>
  <c r="W382" i="42" s="1"/>
  <c r="AC379" i="42"/>
  <c r="AD379" i="42" s="1"/>
  <c r="Q379" i="42"/>
  <c r="M379" i="42"/>
  <c r="I379" i="42"/>
  <c r="Y378" i="42"/>
  <c r="AC378" i="42" s="1"/>
  <c r="AC377" i="42"/>
  <c r="AC375" i="42"/>
  <c r="AC374" i="42"/>
  <c r="W373" i="42"/>
  <c r="W375" i="42" s="1"/>
  <c r="AC372" i="42"/>
  <c r="AD372" i="42" s="1"/>
  <c r="Q372" i="42"/>
  <c r="M372" i="42"/>
  <c r="I372" i="42"/>
  <c r="AC371" i="42"/>
  <c r="AC369" i="42"/>
  <c r="Y369" i="42"/>
  <c r="AC368" i="42"/>
  <c r="AC367" i="42"/>
  <c r="W366" i="42"/>
  <c r="W368" i="42" s="1"/>
  <c r="AC365" i="42"/>
  <c r="AD365" i="42" s="1"/>
  <c r="Q365" i="42"/>
  <c r="M365" i="42"/>
  <c r="I365" i="42"/>
  <c r="AC359" i="42"/>
  <c r="AC357" i="42"/>
  <c r="W356" i="42"/>
  <c r="W357" i="42" s="1"/>
  <c r="AC355" i="42"/>
  <c r="W354" i="42"/>
  <c r="W355" i="42" s="1"/>
  <c r="AC353" i="42"/>
  <c r="AC352" i="42"/>
  <c r="W352" i="42"/>
  <c r="AC351" i="42"/>
  <c r="AC349" i="42"/>
  <c r="AD348" i="42"/>
  <c r="W348" i="42"/>
  <c r="R348" i="42"/>
  <c r="Q348" i="42"/>
  <c r="M348" i="42"/>
  <c r="I348" i="42"/>
  <c r="AC347" i="42"/>
  <c r="W346" i="42"/>
  <c r="AC345" i="42"/>
  <c r="AD344" i="42"/>
  <c r="W344" i="42"/>
  <c r="R344" i="42"/>
  <c r="Q344" i="42"/>
  <c r="M344" i="42"/>
  <c r="I344" i="42"/>
  <c r="AC342" i="42"/>
  <c r="AC341" i="42"/>
  <c r="AC339" i="42"/>
  <c r="W338" i="42"/>
  <c r="AC337" i="42"/>
  <c r="AD336" i="42"/>
  <c r="W336" i="42"/>
  <c r="R336" i="42"/>
  <c r="Q336" i="42"/>
  <c r="M336" i="42"/>
  <c r="I336" i="42"/>
  <c r="AC333" i="42"/>
  <c r="W332" i="42"/>
  <c r="AC331" i="42"/>
  <c r="W330" i="42"/>
  <c r="AC329" i="42"/>
  <c r="AD328" i="42"/>
  <c r="W328" i="42"/>
  <c r="R328" i="42"/>
  <c r="Q328" i="42"/>
  <c r="M328" i="42"/>
  <c r="I328" i="42"/>
  <c r="AC324" i="42"/>
  <c r="W323" i="42"/>
  <c r="AC322" i="42"/>
  <c r="W321" i="42"/>
  <c r="AC320" i="42"/>
  <c r="W319" i="42"/>
  <c r="AC318" i="42"/>
  <c r="AD317" i="42"/>
  <c r="W317" i="42"/>
  <c r="R317" i="42"/>
  <c r="Q317" i="42"/>
  <c r="M317" i="42"/>
  <c r="I317" i="42"/>
  <c r="AC315" i="42"/>
  <c r="AC314" i="42"/>
  <c r="AD311" i="42" s="1"/>
  <c r="AC312" i="42"/>
  <c r="W311" i="42"/>
  <c r="W315" i="42" s="1"/>
  <c r="Q311" i="42"/>
  <c r="M311" i="42"/>
  <c r="I311" i="42"/>
  <c r="AC307" i="42"/>
  <c r="AC305" i="42"/>
  <c r="AC303" i="42"/>
  <c r="W302" i="42"/>
  <c r="AC301" i="42"/>
  <c r="AD300" i="42"/>
  <c r="W300" i="42"/>
  <c r="I300" i="42"/>
  <c r="AC298" i="42"/>
  <c r="AC296" i="42"/>
  <c r="W295" i="42"/>
  <c r="AC294" i="42"/>
  <c r="W293" i="42"/>
  <c r="AC292" i="42"/>
  <c r="AD289" i="42" s="1"/>
  <c r="AC290" i="42"/>
  <c r="W289" i="42"/>
  <c r="J289" i="42"/>
  <c r="M289" i="42" s="1"/>
  <c r="I289" i="42"/>
  <c r="AC287" i="42"/>
  <c r="AC286" i="42"/>
  <c r="AC284" i="42"/>
  <c r="AD283" i="42"/>
  <c r="W283" i="42"/>
  <c r="R283" i="42"/>
  <c r="Q283" i="42"/>
  <c r="M283" i="42"/>
  <c r="I283" i="42"/>
  <c r="AC279" i="42"/>
  <c r="Y279" i="42"/>
  <c r="AC278" i="42"/>
  <c r="W277" i="42"/>
  <c r="W278" i="42" s="1"/>
  <c r="AC276" i="42"/>
  <c r="AC274" i="42"/>
  <c r="AC273" i="42"/>
  <c r="W273" i="42"/>
  <c r="AC272" i="42"/>
  <c r="W271" i="42"/>
  <c r="AD270" i="42"/>
  <c r="AC270" i="42"/>
  <c r="R270" i="42"/>
  <c r="Q270" i="42"/>
  <c r="M270" i="42"/>
  <c r="I270" i="42"/>
  <c r="AC269" i="42"/>
  <c r="W268" i="42"/>
  <c r="AC267" i="42"/>
  <c r="W266" i="42"/>
  <c r="AC265" i="42"/>
  <c r="AD262" i="42" s="1"/>
  <c r="AC264" i="42"/>
  <c r="W264" i="42"/>
  <c r="AC263" i="42"/>
  <c r="W262" i="42"/>
  <c r="Q262" i="42"/>
  <c r="M262" i="42"/>
  <c r="I262" i="42"/>
  <c r="AC261" i="42"/>
  <c r="W260" i="42"/>
  <c r="AC259" i="42"/>
  <c r="AC258" i="42"/>
  <c r="W257" i="42"/>
  <c r="AC256" i="42"/>
  <c r="W255" i="42"/>
  <c r="AC254" i="42"/>
  <c r="AD253" i="42"/>
  <c r="W253" i="42"/>
  <c r="R253" i="42"/>
  <c r="Q253" i="42"/>
  <c r="M253" i="42"/>
  <c r="I253" i="42"/>
  <c r="AC251" i="42"/>
  <c r="AC249" i="42"/>
  <c r="W248" i="42"/>
  <c r="AC247" i="42"/>
  <c r="AC245" i="42"/>
  <c r="AD244" i="42"/>
  <c r="W244" i="42"/>
  <c r="R244" i="42"/>
  <c r="Q244" i="42"/>
  <c r="M244" i="42"/>
  <c r="I244" i="42"/>
  <c r="AC242" i="42"/>
  <c r="AC241" i="42"/>
  <c r="AC240" i="42"/>
  <c r="AC239" i="42"/>
  <c r="AC238" i="42"/>
  <c r="AC237" i="42"/>
  <c r="W236" i="42"/>
  <c r="W238" i="42" s="1"/>
  <c r="AD235" i="42"/>
  <c r="AC235" i="42"/>
  <c r="I235" i="42"/>
  <c r="AC234" i="42"/>
  <c r="AC233" i="42"/>
  <c r="AD233" i="42" s="1"/>
  <c r="J233" i="42"/>
  <c r="M233" i="42" s="1"/>
  <c r="I233" i="42"/>
  <c r="AC231" i="42"/>
  <c r="AC230" i="42"/>
  <c r="W229" i="42"/>
  <c r="W231" i="42" s="1"/>
  <c r="AC228" i="42"/>
  <c r="AD228" i="42" s="1"/>
  <c r="Q228" i="42"/>
  <c r="M228" i="42"/>
  <c r="I228" i="42"/>
  <c r="AC226" i="42"/>
  <c r="AD226" i="42" s="1"/>
  <c r="I226" i="42"/>
  <c r="AD224" i="42"/>
  <c r="AC223" i="42"/>
  <c r="AC222" i="42"/>
  <c r="W221" i="42"/>
  <c r="W223" i="42" s="1"/>
  <c r="AC220" i="42"/>
  <c r="AD220" i="42" s="1"/>
  <c r="J220" i="42"/>
  <c r="Q220" i="42" s="1"/>
  <c r="I220" i="42"/>
  <c r="AC219" i="42"/>
  <c r="AD219" i="42" s="1"/>
  <c r="I219" i="42"/>
  <c r="AC218" i="42"/>
  <c r="AC209" i="42"/>
  <c r="AC208" i="42"/>
  <c r="W207" i="42"/>
  <c r="W208" i="42" s="1"/>
  <c r="AC206" i="42"/>
  <c r="AC205" i="42"/>
  <c r="W205" i="42"/>
  <c r="AC204" i="42"/>
  <c r="W203" i="42"/>
  <c r="AC202" i="42"/>
  <c r="AD202" i="42" s="1"/>
  <c r="M202" i="42"/>
  <c r="J202" i="42"/>
  <c r="Q202" i="42" s="1"/>
  <c r="I202" i="42"/>
  <c r="AC201" i="42"/>
  <c r="AC200" i="42"/>
  <c r="W199" i="42"/>
  <c r="AC198" i="42"/>
  <c r="AD197" i="42"/>
  <c r="W197" i="42"/>
  <c r="R197" i="42"/>
  <c r="Q197" i="42"/>
  <c r="M197" i="42"/>
  <c r="I197" i="42"/>
  <c r="AC196" i="42"/>
  <c r="AD195" i="42" s="1"/>
  <c r="W195" i="42"/>
  <c r="I195" i="42"/>
  <c r="AC194" i="42"/>
  <c r="AD194" i="42" s="1"/>
  <c r="J194" i="42"/>
  <c r="M194" i="42" s="1"/>
  <c r="I194" i="42"/>
  <c r="AC193" i="42"/>
  <c r="AD193" i="42" s="1"/>
  <c r="Q193" i="42"/>
  <c r="M193" i="42"/>
  <c r="I193" i="42"/>
  <c r="AD192" i="42"/>
  <c r="AC192" i="42"/>
  <c r="R192" i="42"/>
  <c r="Q192" i="42"/>
  <c r="M192" i="42"/>
  <c r="I192" i="42"/>
  <c r="AC191" i="42"/>
  <c r="W190" i="42"/>
  <c r="AC189" i="42"/>
  <c r="AC188" i="42"/>
  <c r="W188" i="42"/>
  <c r="AC187" i="42"/>
  <c r="AC186" i="42"/>
  <c r="AC185" i="42"/>
  <c r="AD185" i="42" s="1"/>
  <c r="W185" i="42"/>
  <c r="Q185" i="42"/>
  <c r="M185" i="42"/>
  <c r="I185" i="42"/>
  <c r="AC184" i="42"/>
  <c r="AC183" i="42"/>
  <c r="AC182" i="42"/>
  <c r="AC181" i="42"/>
  <c r="AC180" i="42"/>
  <c r="W180" i="42"/>
  <c r="W181" i="42" s="1"/>
  <c r="AC179" i="42"/>
  <c r="AC178" i="42"/>
  <c r="W178" i="42"/>
  <c r="AC177" i="42"/>
  <c r="AD176" i="42"/>
  <c r="W176" i="42"/>
  <c r="I176" i="42"/>
  <c r="AC175" i="42"/>
  <c r="AC174" i="42"/>
  <c r="AC173" i="42"/>
  <c r="AC172" i="42"/>
  <c r="AC170" i="42"/>
  <c r="W169" i="42"/>
  <c r="AC168" i="42"/>
  <c r="W167" i="42"/>
  <c r="AC166" i="42"/>
  <c r="AD165" i="42"/>
  <c r="W165" i="42"/>
  <c r="M165" i="42"/>
  <c r="J165" i="42"/>
  <c r="Q165" i="42" s="1"/>
  <c r="I165" i="42"/>
  <c r="AC164" i="42"/>
  <c r="AC163" i="42"/>
  <c r="AC162" i="42"/>
  <c r="AC161" i="42"/>
  <c r="AC160" i="42"/>
  <c r="AC159" i="42"/>
  <c r="AC158" i="42"/>
  <c r="AC157" i="42"/>
  <c r="W156" i="42"/>
  <c r="AC155" i="42"/>
  <c r="W155" i="42"/>
  <c r="AC154" i="42"/>
  <c r="AC153" i="42"/>
  <c r="AC152" i="42"/>
  <c r="AD151" i="42"/>
  <c r="W151" i="42"/>
  <c r="Q151" i="42"/>
  <c r="M151" i="42"/>
  <c r="I151" i="42"/>
  <c r="AC147" i="42"/>
  <c r="AC146" i="42"/>
  <c r="AC145" i="42"/>
  <c r="AD145" i="42" s="1"/>
  <c r="V145" i="42"/>
  <c r="W145" i="42" s="1"/>
  <c r="I145" i="42"/>
  <c r="AC144" i="42"/>
  <c r="AD143" i="42" s="1"/>
  <c r="W143" i="42"/>
  <c r="I143" i="42"/>
  <c r="AC142" i="42"/>
  <c r="AC141" i="42"/>
  <c r="AC140" i="42"/>
  <c r="Y139" i="42"/>
  <c r="AC139" i="42" s="1"/>
  <c r="AD139" i="42" s="1"/>
  <c r="J139" i="42"/>
  <c r="M139" i="42" s="1"/>
  <c r="I139" i="42"/>
  <c r="AC138" i="42"/>
  <c r="AC137" i="42"/>
  <c r="W136" i="42"/>
  <c r="AC135" i="42"/>
  <c r="AD134" i="42"/>
  <c r="W134" i="42"/>
  <c r="R134" i="42"/>
  <c r="Q134" i="42"/>
  <c r="M134" i="42"/>
  <c r="I134" i="42"/>
  <c r="AC133" i="42"/>
  <c r="Y132" i="42"/>
  <c r="AC132" i="42" s="1"/>
  <c r="AD129" i="42" s="1"/>
  <c r="AC131" i="42"/>
  <c r="AC130" i="42"/>
  <c r="W129" i="42"/>
  <c r="W131" i="42" s="1"/>
  <c r="Q129" i="42"/>
  <c r="M129" i="42"/>
  <c r="I129" i="42"/>
  <c r="AC128" i="42"/>
  <c r="AD128" i="42" s="1"/>
  <c r="Q128" i="42"/>
  <c r="M128" i="42"/>
  <c r="I128" i="42"/>
  <c r="AC127" i="42"/>
  <c r="W126" i="42"/>
  <c r="W127" i="42" s="1"/>
  <c r="AC125" i="42"/>
  <c r="AC124" i="42"/>
  <c r="W124" i="42"/>
  <c r="AC123" i="42"/>
  <c r="AC121" i="42"/>
  <c r="AC119" i="42"/>
  <c r="AD118" i="42"/>
  <c r="AC118" i="42"/>
  <c r="W118" i="42"/>
  <c r="Q118" i="42"/>
  <c r="M118" i="42"/>
  <c r="I118" i="42"/>
  <c r="AC117" i="42"/>
  <c r="AC116" i="42"/>
  <c r="AC115" i="42"/>
  <c r="W115" i="42"/>
  <c r="AC114" i="42"/>
  <c r="W113" i="42"/>
  <c r="AD112" i="42"/>
  <c r="AC112" i="42"/>
  <c r="R112" i="42"/>
  <c r="Q112" i="42"/>
  <c r="M112" i="42"/>
  <c r="I112" i="42"/>
  <c r="AC111" i="42"/>
  <c r="AC110" i="42"/>
  <c r="AC109" i="42"/>
  <c r="W108" i="42"/>
  <c r="W110" i="42" s="1"/>
  <c r="AD107" i="42"/>
  <c r="AC107" i="42"/>
  <c r="R107" i="42"/>
  <c r="Q107" i="42"/>
  <c r="M107" i="42"/>
  <c r="I107" i="42"/>
  <c r="AC106" i="42"/>
  <c r="Y105" i="42"/>
  <c r="AC105" i="42" s="1"/>
  <c r="AD101" i="42" s="1"/>
  <c r="AC104" i="42"/>
  <c r="AC103" i="42"/>
  <c r="W102" i="42"/>
  <c r="W103" i="42" s="1"/>
  <c r="AC101" i="42"/>
  <c r="R101" i="42"/>
  <c r="Q101" i="42"/>
  <c r="M101" i="42"/>
  <c r="I101" i="42"/>
  <c r="AC100" i="42"/>
  <c r="AC99" i="42"/>
  <c r="AC98" i="42"/>
  <c r="AC97" i="42"/>
  <c r="W96" i="42"/>
  <c r="AC95" i="42"/>
  <c r="W94" i="42"/>
  <c r="V94" i="42"/>
  <c r="AC93" i="42"/>
  <c r="V92" i="42"/>
  <c r="W92" i="42" s="1"/>
  <c r="AC91" i="42"/>
  <c r="W90" i="42"/>
  <c r="AC89" i="42"/>
  <c r="AC87" i="42"/>
  <c r="AD86" i="42"/>
  <c r="W86" i="42"/>
  <c r="R86" i="42"/>
  <c r="Q86" i="42"/>
  <c r="M86" i="42"/>
  <c r="I86" i="42"/>
  <c r="AC85" i="42"/>
  <c r="AC83" i="42"/>
  <c r="AC82" i="42"/>
  <c r="AC81" i="42"/>
  <c r="AC79" i="42"/>
  <c r="W79" i="42"/>
  <c r="AC77" i="42"/>
  <c r="W76" i="42"/>
  <c r="AC75" i="42"/>
  <c r="W74" i="42"/>
  <c r="AC73" i="42"/>
  <c r="W72" i="42"/>
  <c r="AC71" i="42"/>
  <c r="AD70" i="42"/>
  <c r="W70" i="42"/>
  <c r="R70" i="42"/>
  <c r="Q70" i="42"/>
  <c r="M70" i="42"/>
  <c r="I70" i="42"/>
  <c r="AC69" i="42"/>
  <c r="AD69" i="42" s="1"/>
  <c r="Q69" i="42"/>
  <c r="M69" i="42"/>
  <c r="I69" i="42"/>
  <c r="AC68" i="42"/>
  <c r="AC67" i="42"/>
  <c r="AC66" i="42"/>
  <c r="AC65" i="42"/>
  <c r="W65" i="42"/>
  <c r="AC64" i="42"/>
  <c r="AC63" i="42"/>
  <c r="AC62" i="42"/>
  <c r="AC61" i="42"/>
  <c r="AD61" i="42" s="1"/>
  <c r="W61" i="42"/>
  <c r="I61" i="42"/>
  <c r="AC60" i="42"/>
  <c r="AC59" i="42"/>
  <c r="AD58" i="42"/>
  <c r="AC58" i="42"/>
  <c r="M58" i="42"/>
  <c r="J58" i="42"/>
  <c r="Q58" i="42" s="1"/>
  <c r="I58" i="42"/>
  <c r="AD56" i="42"/>
  <c r="AC56" i="42"/>
  <c r="P56" i="42"/>
  <c r="Q56" i="42" s="1"/>
  <c r="R56" i="42" s="1"/>
  <c r="M56" i="42"/>
  <c r="N56" i="42" s="1"/>
  <c r="I56" i="42"/>
  <c r="Z55" i="42"/>
  <c r="AD53" i="42"/>
  <c r="AC53" i="42"/>
  <c r="P53" i="42"/>
  <c r="Q53" i="42" s="1"/>
  <c r="R53" i="42" s="1"/>
  <c r="M53" i="42"/>
  <c r="N53" i="42" s="1"/>
  <c r="I53" i="42"/>
  <c r="Z52" i="42"/>
  <c r="AC51" i="42"/>
  <c r="AC47" i="42"/>
  <c r="W46" i="42"/>
  <c r="W47" i="42" s="1"/>
  <c r="AC45" i="42"/>
  <c r="X45" i="42"/>
  <c r="AC44" i="42"/>
  <c r="X44" i="42"/>
  <c r="W44" i="42"/>
  <c r="AC43" i="42"/>
  <c r="AD42" i="42" s="1"/>
  <c r="X43" i="42"/>
  <c r="X42" i="42"/>
  <c r="W42" i="42"/>
  <c r="R42" i="42"/>
  <c r="P42" i="42"/>
  <c r="Q42" i="42" s="1"/>
  <c r="M42" i="42"/>
  <c r="N42" i="42" s="1"/>
  <c r="I42" i="42"/>
  <c r="AC41" i="42"/>
  <c r="AD41" i="42" s="1"/>
  <c r="Q41" i="42"/>
  <c r="R41" i="42" s="1"/>
  <c r="P41" i="42"/>
  <c r="N41" i="42"/>
  <c r="M41" i="42"/>
  <c r="I41" i="42"/>
  <c r="Y38" i="42"/>
  <c r="AC37" i="42"/>
  <c r="Z37" i="42"/>
  <c r="X37" i="42"/>
  <c r="Z36" i="42"/>
  <c r="AC36" i="42" s="1"/>
  <c r="X36" i="42"/>
  <c r="Z35" i="42"/>
  <c r="AC35" i="42" s="1"/>
  <c r="X35" i="42"/>
  <c r="AD34" i="42"/>
  <c r="X34" i="42"/>
  <c r="W34" i="42"/>
  <c r="W36" i="42" s="1"/>
  <c r="I34" i="42"/>
  <c r="AC33" i="42"/>
  <c r="Z32" i="42"/>
  <c r="AC32" i="42" s="1"/>
  <c r="X32" i="42"/>
  <c r="W32" i="42"/>
  <c r="Z31" i="42"/>
  <c r="AC31" i="42" s="1"/>
  <c r="AD30" i="42" s="1"/>
  <c r="X31" i="42"/>
  <c r="X30" i="42"/>
  <c r="W30" i="42"/>
  <c r="R30" i="42"/>
  <c r="Q30" i="42"/>
  <c r="M30" i="42"/>
  <c r="J30" i="42"/>
  <c r="J408" i="42" s="1"/>
  <c r="I30" i="42"/>
  <c r="AD29" i="42"/>
  <c r="AC29" i="42"/>
  <c r="P29" i="42"/>
  <c r="Q29" i="42" s="1"/>
  <c r="R29" i="42" s="1"/>
  <c r="M29" i="42"/>
  <c r="N29" i="42" s="1"/>
  <c r="S29" i="42" s="1"/>
  <c r="T29" i="42" s="1"/>
  <c r="I29" i="42"/>
  <c r="AC28" i="42"/>
  <c r="AD27" i="42"/>
  <c r="AC27" i="42"/>
  <c r="P27" i="42"/>
  <c r="Q27" i="42" s="1"/>
  <c r="R27" i="42" s="1"/>
  <c r="M27" i="42"/>
  <c r="N27" i="42" s="1"/>
  <c r="S27" i="42" s="1"/>
  <c r="T27" i="42" s="1"/>
  <c r="I27" i="42"/>
  <c r="AC26" i="42"/>
  <c r="AD25" i="42"/>
  <c r="AC25" i="42"/>
  <c r="P25" i="42"/>
  <c r="Q25" i="42" s="1"/>
  <c r="R25" i="42" s="1"/>
  <c r="M25" i="42"/>
  <c r="N25" i="42" s="1"/>
  <c r="S25" i="42" s="1"/>
  <c r="T25" i="42" s="1"/>
  <c r="I25" i="42"/>
  <c r="AC24" i="42"/>
  <c r="AC23" i="42"/>
  <c r="Y21" i="42"/>
  <c r="Y20" i="42"/>
  <c r="AC19" i="42"/>
  <c r="X19" i="42"/>
  <c r="W19" i="42"/>
  <c r="X18" i="42"/>
  <c r="AC17" i="42"/>
  <c r="X17" i="42"/>
  <c r="X16" i="42"/>
  <c r="Z15" i="42"/>
  <c r="AC15" i="42" s="1"/>
  <c r="X15" i="42"/>
  <c r="Z14" i="42"/>
  <c r="AC14" i="42" s="1"/>
  <c r="X14" i="42"/>
  <c r="W14" i="42"/>
  <c r="Z13" i="42"/>
  <c r="AC13" i="42" s="1"/>
  <c r="X13" i="42"/>
  <c r="AF12" i="42"/>
  <c r="AF13" i="42" s="1"/>
  <c r="X12" i="42"/>
  <c r="W12" i="42"/>
  <c r="Z11" i="42"/>
  <c r="AC11" i="42" s="1"/>
  <c r="P11" i="42"/>
  <c r="Q11" i="42" s="1"/>
  <c r="R11" i="42" s="1"/>
  <c r="M11" i="42"/>
  <c r="N11" i="42" s="1"/>
  <c r="S11" i="42" s="1"/>
  <c r="I11" i="42"/>
  <c r="AC10" i="42"/>
  <c r="AD10" i="42" s="1"/>
  <c r="Q10" i="42"/>
  <c r="R10" i="42" s="1"/>
  <c r="P10" i="42"/>
  <c r="N10" i="42"/>
  <c r="S10" i="42" s="1"/>
  <c r="T10" i="42" s="1"/>
  <c r="M10" i="42"/>
  <c r="I10" i="42"/>
  <c r="AD9" i="42"/>
  <c r="AC9" i="42"/>
  <c r="P9" i="42"/>
  <c r="Q9" i="42" s="1"/>
  <c r="M9" i="42"/>
  <c r="N9" i="42" s="1"/>
  <c r="S9" i="42" s="1"/>
  <c r="I9" i="42"/>
  <c r="I408" i="42" s="1"/>
  <c r="S6" i="42"/>
  <c r="R6" i="42"/>
  <c r="R9" i="42" l="1"/>
  <c r="AE10" i="42"/>
  <c r="T11" i="42"/>
  <c r="AD11" i="42"/>
  <c r="AE11" i="42" s="1"/>
  <c r="AE25" i="42"/>
  <c r="AE27" i="42"/>
  <c r="T9" i="42"/>
  <c r="S348" i="42"/>
  <c r="S344" i="42"/>
  <c r="S336" i="42"/>
  <c r="S328" i="42"/>
  <c r="S317" i="42"/>
  <c r="S283" i="42"/>
  <c r="S270" i="42"/>
  <c r="S253" i="42"/>
  <c r="S244" i="42"/>
  <c r="S220" i="42"/>
  <c r="S404" i="42"/>
  <c r="S403" i="42"/>
  <c r="S388" i="42"/>
  <c r="S386" i="42"/>
  <c r="S379" i="42"/>
  <c r="S372" i="42"/>
  <c r="S365" i="42"/>
  <c r="S311" i="42"/>
  <c r="S289" i="42"/>
  <c r="S262" i="42"/>
  <c r="S233" i="42"/>
  <c r="S228" i="42"/>
  <c r="S202" i="42"/>
  <c r="S197" i="42"/>
  <c r="S192" i="42"/>
  <c r="S129" i="42"/>
  <c r="S118" i="42"/>
  <c r="S69" i="42"/>
  <c r="S194" i="42"/>
  <c r="S193" i="42"/>
  <c r="S185" i="42"/>
  <c r="S165" i="42"/>
  <c r="S151" i="42"/>
  <c r="S139" i="42"/>
  <c r="S134" i="42"/>
  <c r="S128" i="42"/>
  <c r="S112" i="42"/>
  <c r="S107" i="42"/>
  <c r="S101" i="42"/>
  <c r="S86" i="42"/>
  <c r="S70" i="42"/>
  <c r="S58" i="42"/>
  <c r="S30" i="42"/>
  <c r="S408" i="42" s="1"/>
  <c r="AD408" i="42"/>
  <c r="S53" i="42"/>
  <c r="T53" i="42" s="1"/>
  <c r="S56" i="42"/>
  <c r="T56" i="42" s="1"/>
  <c r="AE56" i="42" s="1"/>
  <c r="T86" i="42"/>
  <c r="AE86" i="42" s="1"/>
  <c r="T101" i="42"/>
  <c r="AE101" i="42" s="1"/>
  <c r="T107" i="42"/>
  <c r="AE107" i="42" s="1"/>
  <c r="T112" i="42"/>
  <c r="AE112" i="42" s="1"/>
  <c r="T192" i="42"/>
  <c r="AE192" i="42" s="1"/>
  <c r="T197" i="42"/>
  <c r="AE197" i="42" s="1"/>
  <c r="T202" i="42"/>
  <c r="AE202" i="42" s="1"/>
  <c r="R202" i="42"/>
  <c r="AE9" i="42"/>
  <c r="AE29" i="42"/>
  <c r="S41" i="42"/>
  <c r="T41" i="42" s="1"/>
  <c r="AE41" i="42" s="1"/>
  <c r="S42" i="42"/>
  <c r="T42" i="42" s="1"/>
  <c r="AE42" i="42" s="1"/>
  <c r="AE53" i="42"/>
  <c r="T58" i="42"/>
  <c r="AE58" i="42" s="1"/>
  <c r="R58" i="42"/>
  <c r="T70" i="42"/>
  <c r="AE70" i="42" s="1"/>
  <c r="T134" i="42"/>
  <c r="AE134" i="42" s="1"/>
  <c r="T151" i="42"/>
  <c r="AE151" i="42" s="1"/>
  <c r="R165" i="42"/>
  <c r="T165" i="42" s="1"/>
  <c r="AE165" i="42" s="1"/>
  <c r="T193" i="42"/>
  <c r="AE193" i="42" s="1"/>
  <c r="Q411" i="42"/>
  <c r="R411" i="42" s="1"/>
  <c r="Q417" i="42"/>
  <c r="R417" i="42" s="1"/>
  <c r="R69" i="42"/>
  <c r="T69" i="42" s="1"/>
  <c r="AE69" i="42" s="1"/>
  <c r="R118" i="42"/>
  <c r="T118" i="42" s="1"/>
  <c r="AE118" i="42" s="1"/>
  <c r="R129" i="42"/>
  <c r="T129" i="42" s="1"/>
  <c r="AE129" i="42" s="1"/>
  <c r="Q139" i="42"/>
  <c r="Q194" i="42"/>
  <c r="T270" i="42"/>
  <c r="AE270" i="42" s="1"/>
  <c r="T283" i="42"/>
  <c r="AE283" i="42" s="1"/>
  <c r="T317" i="42"/>
  <c r="AE317" i="42" s="1"/>
  <c r="T336" i="42"/>
  <c r="AE336" i="42" s="1"/>
  <c r="T348" i="42"/>
  <c r="AE348" i="42" s="1"/>
  <c r="T386" i="42"/>
  <c r="AE386" i="42" s="1"/>
  <c r="R128" i="42"/>
  <c r="T128" i="42" s="1"/>
  <c r="AE128" i="42" s="1"/>
  <c r="R151" i="42"/>
  <c r="R185" i="42"/>
  <c r="T185" i="42" s="1"/>
  <c r="AE185" i="42" s="1"/>
  <c r="R193" i="42"/>
  <c r="T220" i="42"/>
  <c r="AE220" i="42" s="1"/>
  <c r="R220" i="42"/>
  <c r="T228" i="42"/>
  <c r="AE228" i="42" s="1"/>
  <c r="T244" i="42"/>
  <c r="AE244" i="42" s="1"/>
  <c r="T253" i="42"/>
  <c r="AE253" i="42" s="1"/>
  <c r="T328" i="42"/>
  <c r="AE328" i="42" s="1"/>
  <c r="T344" i="42"/>
  <c r="AE344" i="42" s="1"/>
  <c r="M220" i="42"/>
  <c r="Q233" i="42"/>
  <c r="Q289" i="42"/>
  <c r="Q404" i="42"/>
  <c r="R228" i="42"/>
  <c r="R262" i="42"/>
  <c r="T262" i="42" s="1"/>
  <c r="AE262" i="42" s="1"/>
  <c r="R311" i="42"/>
  <c r="T311" i="42" s="1"/>
  <c r="AE311" i="42" s="1"/>
  <c r="R365" i="42"/>
  <c r="T365" i="42" s="1"/>
  <c r="AE365" i="42" s="1"/>
  <c r="R372" i="42"/>
  <c r="T372" i="42" s="1"/>
  <c r="AE372" i="42" s="1"/>
  <c r="R379" i="42"/>
  <c r="T379" i="42" s="1"/>
  <c r="AE379" i="42" s="1"/>
  <c r="R386" i="42"/>
  <c r="R388" i="42"/>
  <c r="T388" i="42" s="1"/>
  <c r="AE388" i="42" s="1"/>
  <c r="R403" i="42"/>
  <c r="T403" i="42" s="1"/>
  <c r="AE403" i="42" s="1"/>
  <c r="T404" i="42" l="1"/>
  <c r="AE404" i="42" s="1"/>
  <c r="R404" i="42"/>
  <c r="T30" i="42"/>
  <c r="AE30" i="42" s="1"/>
  <c r="R233" i="42"/>
  <c r="T233" i="42" s="1"/>
  <c r="AE233" i="42" s="1"/>
  <c r="R139" i="42"/>
  <c r="T139" i="42" s="1"/>
  <c r="R289" i="42"/>
  <c r="T289" i="42" s="1"/>
  <c r="AE289" i="42" s="1"/>
  <c r="R194" i="42"/>
  <c r="T194" i="42" s="1"/>
  <c r="AE194" i="42" s="1"/>
  <c r="Q408" i="42"/>
  <c r="W129" i="41"/>
  <c r="AE139" i="42" l="1"/>
  <c r="AE408" i="42" s="1"/>
  <c r="T408" i="42"/>
  <c r="R408" i="42"/>
  <c r="R418" i="42" s="1"/>
  <c r="Q413" i="42"/>
  <c r="Q418" i="42"/>
  <c r="W155" i="41"/>
  <c r="W157" i="41" s="1"/>
  <c r="W123" i="41"/>
  <c r="W86" i="41"/>
  <c r="W77" i="41"/>
  <c r="W60" i="41"/>
  <c r="W46" i="41"/>
  <c r="W47" i="41" s="1"/>
  <c r="W42" i="41"/>
  <c r="W31" i="41" l="1"/>
  <c r="W27" i="41"/>
  <c r="W32" i="41"/>
  <c r="W18" i="41"/>
  <c r="W14" i="41"/>
  <c r="Q14" i="41" l="1"/>
  <c r="M25" i="41"/>
  <c r="J14" i="41"/>
  <c r="I14" i="41"/>
  <c r="M13" i="41"/>
  <c r="M11" i="41"/>
  <c r="M10" i="41"/>
  <c r="M9" i="41"/>
  <c r="M14" i="41" l="1"/>
  <c r="Q161" i="41"/>
  <c r="R161" i="41" s="1"/>
  <c r="Q154" i="41"/>
  <c r="R154" i="41" s="1"/>
  <c r="Q147" i="41"/>
  <c r="R147" i="41" s="1"/>
  <c r="Q140" i="41" l="1"/>
  <c r="Q123" i="41"/>
  <c r="R123" i="41" s="1"/>
  <c r="Q119" i="41"/>
  <c r="Q108" i="41"/>
  <c r="Q77" i="41"/>
  <c r="Q59" i="41"/>
  <c r="Q27" i="41" l="1"/>
  <c r="I25" i="41" l="1"/>
  <c r="I18" i="41"/>
  <c r="I13" i="41"/>
  <c r="I11" i="41"/>
  <c r="I10" i="41"/>
  <c r="I9" i="41"/>
  <c r="AC25" i="41"/>
  <c r="AD25" i="41" s="1"/>
  <c r="P25" i="41"/>
  <c r="N25" i="41"/>
  <c r="Y22" i="41"/>
  <c r="Z21" i="41"/>
  <c r="AC21" i="41" s="1"/>
  <c r="X21" i="41"/>
  <c r="Z20" i="41"/>
  <c r="AC20" i="41" s="1"/>
  <c r="X20" i="41"/>
  <c r="Z19" i="41"/>
  <c r="AC19" i="41" s="1"/>
  <c r="X19" i="41"/>
  <c r="X18" i="41"/>
  <c r="W20" i="41"/>
  <c r="AC17" i="41"/>
  <c r="Z16" i="41"/>
  <c r="AC16" i="41" s="1"/>
  <c r="X16" i="41"/>
  <c r="Z15" i="41"/>
  <c r="AC15" i="41" s="1"/>
  <c r="X15" i="41"/>
  <c r="X14" i="41"/>
  <c r="W16" i="41"/>
  <c r="AC13" i="41"/>
  <c r="AD13" i="41" s="1"/>
  <c r="P13" i="41"/>
  <c r="Q13" i="41" s="1"/>
  <c r="R13" i="41" s="1"/>
  <c r="N13" i="41"/>
  <c r="AC12" i="41"/>
  <c r="AC11" i="41"/>
  <c r="P11" i="41"/>
  <c r="Q11" i="41" s="1"/>
  <c r="R11" i="41" s="1"/>
  <c r="N11" i="41"/>
  <c r="AC10" i="41"/>
  <c r="AD10" i="41" s="1"/>
  <c r="P10" i="41"/>
  <c r="Q10" i="41" s="1"/>
  <c r="R10" i="41" s="1"/>
  <c r="N10" i="41"/>
  <c r="AC9" i="41"/>
  <c r="AD9" i="41" s="1"/>
  <c r="P9" i="41"/>
  <c r="Q9" i="41" s="1"/>
  <c r="N9" i="41"/>
  <c r="R9" i="41" l="1"/>
  <c r="Q25" i="41"/>
  <c r="R25" i="41" s="1"/>
  <c r="R14" i="41"/>
  <c r="AD14" i="41"/>
  <c r="AD11" i="41"/>
  <c r="AD18" i="41"/>
  <c r="AC166" i="41" l="1"/>
  <c r="AD166" i="41" s="1"/>
  <c r="I166" i="41"/>
  <c r="AC165" i="41"/>
  <c r="W164" i="41"/>
  <c r="AC163" i="41"/>
  <c r="AD163" i="41" s="1"/>
  <c r="J163" i="41"/>
  <c r="Q163" i="41" s="1"/>
  <c r="I163" i="41"/>
  <c r="AC162" i="41"/>
  <c r="AC161" i="41"/>
  <c r="M161" i="41"/>
  <c r="I161" i="41"/>
  <c r="AC160" i="41"/>
  <c r="Y158" i="41"/>
  <c r="AC158" i="41" s="1"/>
  <c r="AC157" i="41"/>
  <c r="AC156" i="41"/>
  <c r="AC154" i="41"/>
  <c r="M154" i="41"/>
  <c r="I154" i="41"/>
  <c r="Y153" i="41"/>
  <c r="AC152" i="41"/>
  <c r="AC150" i="41"/>
  <c r="AC149" i="41"/>
  <c r="W148" i="41"/>
  <c r="W150" i="41" s="1"/>
  <c r="AC147" i="41"/>
  <c r="M147" i="41"/>
  <c r="I147" i="41"/>
  <c r="AC146" i="41"/>
  <c r="Y144" i="41"/>
  <c r="AC144" i="41" s="1"/>
  <c r="AC143" i="41"/>
  <c r="AC142" i="41"/>
  <c r="W141" i="41"/>
  <c r="W143" i="41" s="1"/>
  <c r="AC140" i="41"/>
  <c r="R140" i="41"/>
  <c r="M140" i="41"/>
  <c r="I140" i="41"/>
  <c r="AC134" i="41"/>
  <c r="AC132" i="41"/>
  <c r="W131" i="41"/>
  <c r="W132" i="41" s="1"/>
  <c r="AC130" i="41"/>
  <c r="W130" i="41"/>
  <c r="AC128" i="41"/>
  <c r="AC127" i="41"/>
  <c r="W127" i="41"/>
  <c r="AC126" i="41"/>
  <c r="AC124" i="41"/>
  <c r="M123" i="41"/>
  <c r="I123" i="41"/>
  <c r="AC122" i="41"/>
  <c r="W121" i="41"/>
  <c r="AC120" i="41"/>
  <c r="AD119" i="41" s="1"/>
  <c r="W119" i="41"/>
  <c r="M119" i="41"/>
  <c r="I119" i="41"/>
  <c r="AC115" i="41"/>
  <c r="W114" i="41"/>
  <c r="AC113" i="41"/>
  <c r="W112" i="41"/>
  <c r="AC111" i="41"/>
  <c r="W110" i="41"/>
  <c r="AC109" i="41"/>
  <c r="W108" i="41"/>
  <c r="R108" i="41"/>
  <c r="M108" i="41"/>
  <c r="I108" i="41"/>
  <c r="AC104" i="41"/>
  <c r="AC102" i="41"/>
  <c r="AC100" i="41"/>
  <c r="W99" i="41"/>
  <c r="AC98" i="41"/>
  <c r="W97" i="41"/>
  <c r="I97" i="41"/>
  <c r="AC95" i="41"/>
  <c r="AC93" i="41"/>
  <c r="W92" i="41"/>
  <c r="AC91" i="41"/>
  <c r="W90" i="41"/>
  <c r="AC89" i="41"/>
  <c r="AC87" i="41"/>
  <c r="J86" i="41"/>
  <c r="I86" i="41"/>
  <c r="AC84" i="41"/>
  <c r="AC82" i="41"/>
  <c r="W81" i="41"/>
  <c r="AC80" i="41"/>
  <c r="AC78" i="41"/>
  <c r="R77" i="41"/>
  <c r="M77" i="41"/>
  <c r="I77" i="41"/>
  <c r="AC62" i="41"/>
  <c r="AC61" i="41"/>
  <c r="W62" i="41"/>
  <c r="AC59" i="41"/>
  <c r="M59" i="41"/>
  <c r="I59" i="41"/>
  <c r="AC58" i="41"/>
  <c r="AD58" i="41" s="1"/>
  <c r="I58" i="41"/>
  <c r="AC57" i="41"/>
  <c r="AC48" i="41"/>
  <c r="AC47" i="41"/>
  <c r="AC45" i="41"/>
  <c r="AC44" i="41"/>
  <c r="W44" i="41"/>
  <c r="AC43" i="41"/>
  <c r="AC41" i="41"/>
  <c r="J41" i="41"/>
  <c r="I41" i="41"/>
  <c r="AC40" i="41"/>
  <c r="AC39" i="41"/>
  <c r="AC38" i="41"/>
  <c r="AC37" i="41"/>
  <c r="AC36" i="41"/>
  <c r="AC35" i="41"/>
  <c r="AC34" i="41"/>
  <c r="AC33" i="41"/>
  <c r="AC31" i="41"/>
  <c r="AC30" i="41"/>
  <c r="AC29" i="41"/>
  <c r="AC28" i="41"/>
  <c r="R27" i="41"/>
  <c r="M27" i="41"/>
  <c r="I27" i="41"/>
  <c r="S6" i="41"/>
  <c r="R6" i="41"/>
  <c r="T64" i="41" l="1"/>
  <c r="AE64" i="41" s="1"/>
  <c r="T69" i="41"/>
  <c r="AE69" i="41" s="1"/>
  <c r="I191" i="41"/>
  <c r="J191" i="41"/>
  <c r="AF191" i="41"/>
  <c r="T154" i="41"/>
  <c r="T14" i="41"/>
  <c r="T13" i="41"/>
  <c r="T25" i="41"/>
  <c r="Q86" i="41"/>
  <c r="R86" i="41" s="1"/>
  <c r="R163" i="41"/>
  <c r="T140" i="41"/>
  <c r="T10" i="41"/>
  <c r="Q41" i="41"/>
  <c r="M163" i="41"/>
  <c r="AD59" i="41"/>
  <c r="M41" i="41"/>
  <c r="M86" i="41"/>
  <c r="AD108" i="41"/>
  <c r="AD77" i="41"/>
  <c r="AD97" i="41"/>
  <c r="AD123" i="41"/>
  <c r="AD161" i="41"/>
  <c r="AD27" i="41"/>
  <c r="AD41" i="41"/>
  <c r="AD140" i="41"/>
  <c r="AD86" i="41"/>
  <c r="AD154" i="41"/>
  <c r="R59" i="41"/>
  <c r="R119" i="41"/>
  <c r="AC153" i="41"/>
  <c r="AD147" i="41" s="1"/>
  <c r="T108" i="41"/>
  <c r="T77" i="41"/>
  <c r="T123" i="41"/>
  <c r="T27" i="41"/>
  <c r="R41" i="41" l="1"/>
  <c r="R191" i="41" s="1"/>
  <c r="Q191" i="41"/>
  <c r="S191" i="41"/>
  <c r="AD191" i="41"/>
  <c r="T163" i="41"/>
  <c r="AE163" i="41" s="1"/>
  <c r="T9" i="41"/>
  <c r="T86" i="41"/>
  <c r="AE86" i="41" s="1"/>
  <c r="AE10" i="41"/>
  <c r="AE13" i="41"/>
  <c r="T11" i="41"/>
  <c r="AE11" i="41" s="1"/>
  <c r="AE154" i="41"/>
  <c r="AE77" i="41"/>
  <c r="T59" i="41"/>
  <c r="AE59" i="41" s="1"/>
  <c r="AE108" i="41"/>
  <c r="AE123" i="41"/>
  <c r="T161" i="41"/>
  <c r="AE161" i="41" s="1"/>
  <c r="T119" i="41"/>
  <c r="AE119" i="41" s="1"/>
  <c r="AE27" i="41"/>
  <c r="T41" i="41"/>
  <c r="AE41" i="41" s="1"/>
  <c r="T147" i="41"/>
  <c r="AE147" i="41" s="1"/>
  <c r="AE140" i="41"/>
  <c r="AE9" i="41" l="1"/>
  <c r="T191" i="41"/>
  <c r="AE25" i="41"/>
  <c r="AE14" i="41" l="1"/>
  <c r="AE191" i="41" s="1"/>
</calcChain>
</file>

<file path=xl/comments1.xml><?xml version="1.0" encoding="utf-8"?>
<comments xmlns="http://schemas.openxmlformats.org/spreadsheetml/2006/main">
  <authors>
    <author>tc={51D4321B-8E8A-4F04-8E53-FBF0B85ED8B0}</author>
    <author>Administrator</author>
  </authors>
  <commentList>
    <comment ref="C58"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B69" authorId="1" shapeId="0">
      <text>
        <r>
          <rPr>
            <b/>
            <sz val="9"/>
            <rFont val="Tahoma"/>
            <family val="2"/>
          </rPr>
          <t xml:space="preserve">Administrator: Xác minh lại tổng diện tích sử dụng (thiếu 360m2)
</t>
        </r>
        <r>
          <rPr>
            <sz val="9"/>
            <rFont val="Tahoma"/>
            <family val="2"/>
          </rPr>
          <t xml:space="preserve">
</t>
        </r>
      </text>
    </comment>
    <comment ref="C107"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39"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65"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94"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202"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220"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233"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289"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404"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List>
</comments>
</file>

<file path=xl/comments2.xml><?xml version="1.0" encoding="utf-8"?>
<comments xmlns="http://schemas.openxmlformats.org/spreadsheetml/2006/main">
  <authors>
    <author>tc={51D4321B-8E8A-4F04-8E53-FBF0B85ED8B0}</author>
    <author>Administrator</author>
  </authors>
  <commentList>
    <comment ref="C41"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B64" authorId="1" shapeId="0">
      <text>
        <r>
          <rPr>
            <b/>
            <sz val="9"/>
            <color indexed="81"/>
            <rFont val="Tahoma"/>
            <family val="2"/>
          </rPr>
          <t xml:space="preserve">Administrator: Xác minh lại tổng diện tích sử dụng (thiếu 360m2)
</t>
        </r>
        <r>
          <rPr>
            <sz val="9"/>
            <color indexed="81"/>
            <rFont val="Tahoma"/>
            <family val="2"/>
          </rPr>
          <t xml:space="preserve">
</t>
        </r>
      </text>
    </comment>
    <comment ref="C86"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63"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7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List>
</comments>
</file>

<file path=xl/comments3.xml><?xml version="1.0" encoding="utf-8"?>
<comments xmlns="http://schemas.openxmlformats.org/spreadsheetml/2006/main">
  <authors>
    <author>tc={51D4321B-8E8A-4F04-8E53-FBF0B85ED8B0}</author>
    <author>Administrator</author>
  </authors>
  <commentList>
    <comment ref="C41"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B64" authorId="1" shapeId="0">
      <text>
        <r>
          <rPr>
            <b/>
            <sz val="9"/>
            <color indexed="81"/>
            <rFont val="Tahoma"/>
            <family val="2"/>
          </rPr>
          <t xml:space="preserve">Administrator: Xác minh lại tổng diện tích sử dụng (thiếu 360m2)
</t>
        </r>
        <r>
          <rPr>
            <sz val="9"/>
            <color indexed="81"/>
            <rFont val="Tahoma"/>
            <family val="2"/>
          </rPr>
          <t xml:space="preserve">
</t>
        </r>
      </text>
    </comment>
    <comment ref="C86"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63"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7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List>
</comments>
</file>

<file path=xl/comments4.xml><?xml version="1.0" encoding="utf-8"?>
<comments xmlns="http://schemas.openxmlformats.org/spreadsheetml/2006/main">
  <authors>
    <author>tc={51D4321B-8E8A-4F04-8E53-FBF0B85ED8B0}</author>
    <author>Administrator</author>
  </authors>
  <commentList>
    <comment ref="C41"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B64" authorId="1" shapeId="0">
      <text>
        <r>
          <rPr>
            <b/>
            <sz val="9"/>
            <color indexed="81"/>
            <rFont val="Tahoma"/>
            <family val="2"/>
          </rPr>
          <t xml:space="preserve">Administrator: Xác minh lại tổng diện tích sử dụng (thiếu 360m2)
</t>
        </r>
        <r>
          <rPr>
            <sz val="9"/>
            <color indexed="81"/>
            <rFont val="Tahoma"/>
            <family val="2"/>
          </rPr>
          <t xml:space="preserve">
</t>
        </r>
      </text>
    </comment>
    <comment ref="C86"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63"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7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List>
</comments>
</file>

<file path=xl/comments5.xml><?xml version="1.0" encoding="utf-8"?>
<comments xmlns="http://schemas.openxmlformats.org/spreadsheetml/2006/main">
  <authors>
    <author>tc={51D4321B-8E8A-4F04-8E53-FBF0B85ED8B0}</author>
    <author>Administrator</author>
  </authors>
  <commentList>
    <comment ref="C41"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B64" authorId="1" shapeId="0">
      <text>
        <r>
          <rPr>
            <b/>
            <sz val="9"/>
            <color indexed="81"/>
            <rFont val="Tahoma"/>
            <family val="2"/>
          </rPr>
          <t xml:space="preserve">Administrator: Xác minh lại tổng diện tích sử dụng (thiếu 360m2)
</t>
        </r>
        <r>
          <rPr>
            <sz val="9"/>
            <color indexed="81"/>
            <rFont val="Tahoma"/>
            <family val="2"/>
          </rPr>
          <t xml:space="preserve">
</t>
        </r>
      </text>
    </comment>
    <comment ref="C86"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63"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7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List>
</comments>
</file>

<file path=xl/comments6.xml><?xml version="1.0" encoding="utf-8"?>
<comments xmlns="http://schemas.openxmlformats.org/spreadsheetml/2006/main">
  <authors>
    <author>tc={51D4321B-8E8A-4F04-8E53-FBF0B85ED8B0}</author>
    <author>Administrator</author>
  </authors>
  <commentList>
    <comment ref="C41"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B64" authorId="1" shapeId="0">
      <text>
        <r>
          <rPr>
            <b/>
            <sz val="9"/>
            <color indexed="81"/>
            <rFont val="Tahoma"/>
            <family val="2"/>
          </rPr>
          <t xml:space="preserve">Administrator: Xác minh lại tổng diện tích sử dụng (thiếu 360m2)
</t>
        </r>
        <r>
          <rPr>
            <sz val="9"/>
            <color indexed="81"/>
            <rFont val="Tahoma"/>
            <family val="2"/>
          </rPr>
          <t xml:space="preserve">
</t>
        </r>
      </text>
    </comment>
    <comment ref="C86"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63" authorId="0" shapeId="0">
      <text>
        <r>
          <rPr>
            <sz val="11"/>
            <color rgb="FF000000"/>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 ref="C179"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589 TÊN KHÁC, XEM LẠI. CÙNG TÊN LÀ 583/3</t>
        </r>
      </text>
    </comment>
  </commentList>
</comments>
</file>

<file path=xl/sharedStrings.xml><?xml version="1.0" encoding="utf-8"?>
<sst xmlns="http://schemas.openxmlformats.org/spreadsheetml/2006/main" count="4273" uniqueCount="690">
  <si>
    <t>đồng/m²</t>
  </si>
  <si>
    <t>Đơn giá</t>
  </si>
  <si>
    <t>đồng/cây</t>
  </si>
  <si>
    <t>giếng</t>
  </si>
  <si>
    <t>STT</t>
  </si>
  <si>
    <t>Đơn giá (đồng)</t>
  </si>
  <si>
    <t>m²</t>
  </si>
  <si>
    <t>m</t>
  </si>
  <si>
    <t>m³</t>
  </si>
  <si>
    <t>1.467.100</t>
  </si>
  <si>
    <t>DANH SÁCH THÔN KIẾN CHÂU</t>
  </si>
  <si>
    <t>Họ Tên</t>
  </si>
  <si>
    <t>GHI Chú</t>
  </si>
  <si>
    <t>Tờ BD</t>
  </si>
  <si>
    <t>Thửa</t>
  </si>
  <si>
    <t xml:space="preserve"> Diện Tích theo TBTH</t>
  </si>
  <si>
    <t>Loại đất</t>
  </si>
  <si>
    <t>Diện tích tiêu chuẩn tại thửa</t>
  </si>
  <si>
    <t>Tổng diện tích sử dụng đất nông nghiệp</t>
  </si>
  <si>
    <t>Số nhân khẩu chia ruộng</t>
  </si>
  <si>
    <t>Số nhân khẩu hỗ trợ gạo</t>
  </si>
  <si>
    <t>Tên cây trồng, hoa màu, công trình, vật kiến trúc bị ảnh hưởng</t>
  </si>
  <si>
    <t>Đơn vị tính</t>
  </si>
  <si>
    <t>Số lượng</t>
  </si>
  <si>
    <t>Khấu hao</t>
  </si>
  <si>
    <t>Hệ số tính (%)</t>
  </si>
  <si>
    <t>Bùi Thị Tám</t>
  </si>
  <si>
    <t>2T-663/3</t>
  </si>
  <si>
    <t>BHK</t>
  </si>
  <si>
    <t>Đặng Đình Ca,Trần Thị Định</t>
  </si>
  <si>
    <t>Đặng Đình Chục,Hoàng Thị Liền</t>
  </si>
  <si>
    <t>3T-49/3,601/3</t>
  </si>
  <si>
    <t>Đặng Đình Chương,Vũ Thị Thắm</t>
  </si>
  <si>
    <t>2T</t>
  </si>
  <si>
    <t>Đặng Đình Cờ,Lê Thị Nguyên</t>
  </si>
  <si>
    <t>3T-254/3,592/3</t>
  </si>
  <si>
    <t>Đặng Đình Dành,Nguyễn Thị Sử</t>
  </si>
  <si>
    <t>Đặng Đình Hà,Lê Thị Thắm</t>
  </si>
  <si>
    <t>Đặng Đình Học,Nguyễn Thị Hợp</t>
  </si>
  <si>
    <t>3T-245/3,589/3</t>
  </si>
  <si>
    <t>Đặng Đình Hường,Lê Thị Gái</t>
  </si>
  <si>
    <t>Đặng Đình Hưởng,Lê Thị Loan</t>
  </si>
  <si>
    <t>3T</t>
  </si>
  <si>
    <t>Đặng Đình Khá,Nguyễn Thị Thà</t>
  </si>
  <si>
    <t>3T-242/3,581/3</t>
  </si>
  <si>
    <t>Đặng Đình Khái,Lê Thị Dự</t>
  </si>
  <si>
    <t>3T-611/3,</t>
  </si>
  <si>
    <t>Đặng Đình Khanh,Lê Thị Thêu</t>
  </si>
  <si>
    <t>Đặng Đình Khi,Lê Thị Tùng</t>
  </si>
  <si>
    <t>Đặng Đình Khiết,Lê Thị Mai</t>
  </si>
  <si>
    <t>Đặng Đình Khói,Nguyễn Thị Rược</t>
  </si>
  <si>
    <t>3T-595/3,257/3</t>
  </si>
  <si>
    <t>Đặng Đình Kiện,Nguyễn Thị Thu</t>
  </si>
  <si>
    <t>Đặng Đình Kiệu,Nguyễn Thị Mến</t>
  </si>
  <si>
    <t>Đặng Đình Lữu</t>
  </si>
  <si>
    <t>Đặng Đình Mạng,Ngô Thị Chín</t>
  </si>
  <si>
    <t>Đặng Đình May,Nguyễn Thị Hạnh</t>
  </si>
  <si>
    <t>Đặng Đình Mốc,Lê Thị Đê</t>
  </si>
  <si>
    <t>Đặng Đình Ngà,Trần Thị Xuyền</t>
  </si>
  <si>
    <t>Đặng Đình Ngoàn,Lê Thị Hậu</t>
  </si>
  <si>
    <t>3T-566/3,634/3</t>
  </si>
  <si>
    <t>Đặng Đình Pha,Phạm Thị Thủy</t>
  </si>
  <si>
    <t>3T-53/3,597/3</t>
  </si>
  <si>
    <t>Đặng Đình Phong,Lê Thị Tuyết</t>
  </si>
  <si>
    <t>Đặng Đình Quân,Lê Thị Hà</t>
  </si>
  <si>
    <t>3T-256/3,594/3,</t>
  </si>
  <si>
    <t>Đặng Đình Quyên,Nguyễn Thị Mát</t>
  </si>
  <si>
    <t>3T-607/3,42/3</t>
  </si>
  <si>
    <t>Đặng Đình Sâm</t>
  </si>
  <si>
    <t>Đặng Đình Sang</t>
  </si>
  <si>
    <t>Đặng Đình Sử,Lê Thị Chiên</t>
  </si>
  <si>
    <t>Đặng Đình Tài,Lê Thị Xuyên</t>
  </si>
  <si>
    <t>3T-38/3,611/3</t>
  </si>
  <si>
    <t>Đặng Đình Tập,Lê Thị Nhẫm</t>
  </si>
  <si>
    <t>3T-31/3,618/3</t>
  </si>
  <si>
    <t>Đặng Đình Thả,Nguyễn Thị Thảnh</t>
  </si>
  <si>
    <t>Đặng Đình Thạp</t>
  </si>
  <si>
    <r>
      <rPr>
        <sz val="13"/>
        <color theme="1"/>
        <rFont val="Times New Roman"/>
        <family val="1"/>
      </rPr>
      <t>Đặng Đình Thống,Lê Thị Thơ-</t>
    </r>
    <r>
      <rPr>
        <sz val="13"/>
        <color rgb="FFFF0000"/>
        <rFont val="Times New Roman"/>
        <family val="1"/>
      </rPr>
      <t>TƠ CỨU</t>
    </r>
  </si>
  <si>
    <t>Đặng Đình Thức,Lê Thị Hạ</t>
  </si>
  <si>
    <t>3T-152/2,233/3</t>
  </si>
  <si>
    <t>Đặng Đình Thực,Lê Thị Lình</t>
  </si>
  <si>
    <t>Đặng Đình Tính- THẢO</t>
  </si>
  <si>
    <t>3T-149/2,237/3</t>
  </si>
  <si>
    <t>Đặng Đình Tô,Lê Thị Song</t>
  </si>
  <si>
    <t>3T-247/3,285/3</t>
  </si>
  <si>
    <t>Đặng Đình Trục,Trần Thị Kích</t>
  </si>
  <si>
    <t>3T-258/3,596/3</t>
  </si>
  <si>
    <t>Đặng Đình Tu,Nguyễn Thị Ngó</t>
  </si>
  <si>
    <t>Đặng Đình Tú,Nguyễn Thị Xành</t>
  </si>
  <si>
    <t>3T-555/3,641/3</t>
  </si>
  <si>
    <t>Đặng Đình Tuynh,Phạm Thị Tuyết</t>
  </si>
  <si>
    <t>3T-599/3,51/3</t>
  </si>
  <si>
    <t>Đặng Đình Vượng,Nguyễn Thị Thuý</t>
  </si>
  <si>
    <t>3T-21/3</t>
  </si>
  <si>
    <t>Đặng Đình Xanh,Nguyễn Thị Gửi</t>
  </si>
  <si>
    <t>3T-63/2,232/3</t>
  </si>
  <si>
    <t>Đặng Đình Y,Đỗ Thị Gấm</t>
  </si>
  <si>
    <t>Đặng Minh Ven,Nguyễn Thị Hoài</t>
  </si>
  <si>
    <t>Đặng Ngọc Thơ,Lê Thị Hoàn</t>
  </si>
  <si>
    <t>Đặng Quang Nghiệp,Trần Thị Hoè</t>
  </si>
  <si>
    <t>Đặng Quang Phức,Dương Thị Huyện- TRỊ+ sáng</t>
  </si>
  <si>
    <t>Đặng Thành Đồng,Đỗ Thị Chín</t>
  </si>
  <si>
    <t>Đặng Thanh Sơn,Nguyễn Thị Hoa</t>
  </si>
  <si>
    <t>Đặng Thế Uy,Lê Thị Nập</t>
  </si>
  <si>
    <t>Đặng Thị Chí</t>
  </si>
  <si>
    <t>Đặng Thị Cùng</t>
  </si>
  <si>
    <t>3T-250/3,588/3</t>
  </si>
  <si>
    <t>Đặng Thị Dậu</t>
  </si>
  <si>
    <t>Đặng Thị Đường</t>
  </si>
  <si>
    <t>2T-218/2</t>
  </si>
  <si>
    <t>Đặng Thị Khay</t>
  </si>
  <si>
    <t>Đặng Thị Khuê</t>
  </si>
  <si>
    <t>Đặng Thị Là</t>
  </si>
  <si>
    <t>Đặng Thị Mát</t>
  </si>
  <si>
    <t>Đặng Thị Nhắt</t>
  </si>
  <si>
    <t>Đặng Thị Phi</t>
  </si>
  <si>
    <t>Đặng Thị Thoa- Hoàng Sĩ Mô</t>
  </si>
  <si>
    <t>Đặng Thị Thuỷ- Việt</t>
  </si>
  <si>
    <t>Đặng Thị Tịnh</t>
  </si>
  <si>
    <t>Đặng Thị Tỵ</t>
  </si>
  <si>
    <t>Đặng Trần Dưỡng,Đỗ Thị Xoan</t>
  </si>
  <si>
    <t>Đặng Văn Hiệp,Lê Thị Liễu</t>
  </si>
  <si>
    <t>Đặng Văn Kha,Nguyễn Thị Miến</t>
  </si>
  <si>
    <t>Đặng Văn Kỹ,Dương Thị Tưởng</t>
  </si>
  <si>
    <t>3T-48/3,602/3</t>
  </si>
  <si>
    <t>Đặng Văn Lĩnh,Lê Thị Dung</t>
  </si>
  <si>
    <t>3T-552/3,644/3</t>
  </si>
  <si>
    <t>Đặng Văn Tỳ,Lê Thị Miền</t>
  </si>
  <si>
    <t>3T-613/3,36/3</t>
  </si>
  <si>
    <t>Đặng Xuân Mùa,Lê Thị Oanh+ thuỷ (việt)</t>
  </si>
  <si>
    <t>3T-562/3,637/3</t>
  </si>
  <si>
    <t>Đặng Xuân Phóng,Trần Thị Thạch</t>
  </si>
  <si>
    <t>Đặng Xuân Thụ,Nguyễn Thị Vinh</t>
  </si>
  <si>
    <t>3T-238/3,576/3</t>
  </si>
  <si>
    <t>Đặng Xuân Tuyến,Bùi Thị Biển</t>
  </si>
  <si>
    <t>3T-251/3,589/3</t>
  </si>
  <si>
    <t>Đỗ Thị Hưởng,Nguyễn Văn Thu</t>
  </si>
  <si>
    <t>Đỗ Thị Mạnh</t>
  </si>
  <si>
    <t>2T-</t>
  </si>
  <si>
    <t>Đỗ Thị Năm</t>
  </si>
  <si>
    <t>Đỗ Thị Nháng</t>
  </si>
  <si>
    <t>2T-255/3</t>
  </si>
  <si>
    <t>Dương Thị Sơn- THUỶ ĐÌNH</t>
  </si>
  <si>
    <t>Hoàng Sĩ Hà,Nguyễn Thị Kịch</t>
  </si>
  <si>
    <t>Hoàng Sĩ Vọng,Trần Thị Liền</t>
  </si>
  <si>
    <t>Hoàng Sỹ Thám,Lê Thị Ngoan</t>
  </si>
  <si>
    <t>Hoàng Thị Quạt</t>
  </si>
  <si>
    <t>3T-241/3,580/3</t>
  </si>
  <si>
    <t>Hoàng Thị Xưa- thành miến</t>
  </si>
  <si>
    <t>Hoàng Văn Khắc,Lê Thị Miện</t>
  </si>
  <si>
    <t>3-261/3,652/3</t>
  </si>
  <si>
    <t>Lê Hồng Thập,Đặng Thị Mây</t>
  </si>
  <si>
    <t>3T-252/3,590/3</t>
  </si>
  <si>
    <t>Lê Hữu Phước,Trần Thị Nhẫn</t>
  </si>
  <si>
    <t>2T-27/3</t>
  </si>
  <si>
    <t>Lê Minh Hạ,Nguyễn Thị Phương</t>
  </si>
  <si>
    <t>Lê Minh Tùy -MỲ</t>
  </si>
  <si>
    <t>Lê Thị Chuyển</t>
  </si>
  <si>
    <t>3T-41/3,608/3</t>
  </si>
  <si>
    <t>Lê Thị Cờ</t>
  </si>
  <si>
    <t>Lê Thị Dậu,Đặng Đình Kiệm</t>
  </si>
  <si>
    <t>Lê Thị Dung- NHO</t>
  </si>
  <si>
    <t>Lê Thị Duyên</t>
  </si>
  <si>
    <t>3T-568/3,632/3</t>
  </si>
  <si>
    <t>Lê Thị Lác</t>
  </si>
  <si>
    <t>Lê Thị Lan- lê văn thơ ( phượng)</t>
  </si>
  <si>
    <t>Lê Thị Mùi- thuý</t>
  </si>
  <si>
    <t>Lê Thị Yên</t>
  </si>
  <si>
    <t>Lê Văn Bằng,Hoàng Thị Thanh</t>
  </si>
  <si>
    <t>Lê Văn Chiến,Trần Thị Khuyết</t>
  </si>
  <si>
    <t>Lê Văn Dự,Nguyễn Thị Tỉn- thương</t>
  </si>
  <si>
    <t>3T-146/2,44/3</t>
  </si>
  <si>
    <t>Lê Văn Giảng,Nguyễn Thị Suất</t>
  </si>
  <si>
    <t>3T-61/2,230/3</t>
  </si>
  <si>
    <t>Lê Văn Hạnh,Đặng Thị Thơm</t>
  </si>
  <si>
    <t>3T-548/3,648/3</t>
  </si>
  <si>
    <t>Lê Văn Luật,Nguyễn Thị Vượt</t>
  </si>
  <si>
    <t>3T-150/2,234/3</t>
  </si>
  <si>
    <t>Lê Văn Mười,Nguyễn Thị Bưởi</t>
  </si>
  <si>
    <t>Lê Văn Quân,Đặng Thị Ngoãn</t>
  </si>
  <si>
    <t>3T-28/3,621/3</t>
  </si>
  <si>
    <t>Lê Văn Tá</t>
  </si>
  <si>
    <t>Lê Văn Thía,Lê Thị May</t>
  </si>
  <si>
    <t>3T-45/3,605/3</t>
  </si>
  <si>
    <t>Lê Văn Viết,Nguyễn Thị Thu</t>
  </si>
  <si>
    <t>3T-33/3,615/3</t>
  </si>
  <si>
    <t>Lê Văn suy,Lê Thị Thái</t>
  </si>
  <si>
    <t>3T-249/3,587/3</t>
  </si>
  <si>
    <t>Nguyễn Như In,Phạm Thị Khiếu</t>
  </si>
  <si>
    <t>4T-26/3,623/3,31/12</t>
  </si>
  <si>
    <t>Nguyễn Thị Bân</t>
  </si>
  <si>
    <t>3T-617/3</t>
  </si>
  <si>
    <t>Nguyễn Thị Cõn( THẠCH)</t>
  </si>
  <si>
    <t>Nguyễn Thị Dần</t>
  </si>
  <si>
    <t>3T-248/3,586/3</t>
  </si>
  <si>
    <t>Nguyễn Thị Đào</t>
  </si>
  <si>
    <t>Nguyễn Thị Dào- DƯỢC</t>
  </si>
  <si>
    <t>Nguyễn Thị He</t>
  </si>
  <si>
    <t>3T-46/3,604/3</t>
  </si>
  <si>
    <t>Nguyễn Thị Kết</t>
  </si>
  <si>
    <t>Nguyễn Thị Loan- dũng</t>
  </si>
  <si>
    <t>Nguyễn Thị Lực,Nguyễn Văn Dâng</t>
  </si>
  <si>
    <t>Nguyễn Thị Lương</t>
  </si>
  <si>
    <t>3T-162/2,505/3</t>
  </si>
  <si>
    <t>Nguyễn Thị Mai</t>
  </si>
  <si>
    <t>3T-546/3,650/3</t>
  </si>
  <si>
    <t>Nguyễn Thị Mỉnh</t>
  </si>
  <si>
    <t>3T-549/3,647/3</t>
  </si>
  <si>
    <t>Nguyễn Thị Ngà</t>
  </si>
  <si>
    <t>Nguyễn Thị Rỡ</t>
  </si>
  <si>
    <t>Nguyễn Thị Sỉu</t>
  </si>
  <si>
    <t>Nguyễn Thị Tâm,Nguyễn Ngọc Cung+ phương</t>
  </si>
  <si>
    <t>Nguyễn Thị Thái</t>
  </si>
  <si>
    <t>1T</t>
  </si>
  <si>
    <t>Nguyễn Thị Thao</t>
  </si>
  <si>
    <t>Nguyễn Thị Thụ</t>
  </si>
  <si>
    <t>Nguyễn Thị Thuần,Nguyễn Văn Hà</t>
  </si>
  <si>
    <t>Nguyễn Thị Vi</t>
  </si>
  <si>
    <t>BỎ</t>
  </si>
  <si>
    <t>Nguyễn Thị Viền</t>
  </si>
  <si>
    <t>Nguyễn Thị Vui</t>
  </si>
  <si>
    <t>Nguyễn Tiến Thẩm,Lê Thị ấn</t>
  </si>
  <si>
    <t>4T-65/2,39/3,610/3</t>
  </si>
  <si>
    <t>Nguyễn Văn Biện,Hoàng Thị Xâm</t>
  </si>
  <si>
    <t>3T-34/3,615/3</t>
  </si>
  <si>
    <t>Nguyễn Văn Chỉ,Lê Thị Soi</t>
  </si>
  <si>
    <t>Nguyễn Văn Chiến-XOAN</t>
  </si>
  <si>
    <t>Nguyễn Văn Chiến,Nguyễn Thị Lương</t>
  </si>
  <si>
    <t>3T-244/3,582/3</t>
  </si>
  <si>
    <t>Nguyễn Văn Chiều,Trần Thị Luyến</t>
  </si>
  <si>
    <t>3T-269/3,39/7</t>
  </si>
  <si>
    <t>Nguyễn Văn Chính,Nguyễn Thị Hà</t>
  </si>
  <si>
    <t>Nguyễn Văn Chư</t>
  </si>
  <si>
    <t>Nguyễn Văn Chuyền,Đỗ Thị Đoán</t>
  </si>
  <si>
    <t>Nguyễn Văn Đá,Lê Thị Tơ</t>
  </si>
  <si>
    <t>Nguyễn Văn Đạc,Lê Thị Quế</t>
  </si>
  <si>
    <t>Nguyễn Văn Đại,Lê Thị Lánh</t>
  </si>
  <si>
    <t>Nguyễn Văn Đan,Ngô Thị Láng</t>
  </si>
  <si>
    <t>Nguyễn Văn Đảng</t>
  </si>
  <si>
    <t xml:space="preserve">Nguyễn Văn Đệ+ tặng </t>
  </si>
  <si>
    <t>Nguyễn Văn Đính</t>
  </si>
  <si>
    <t>Nguyễn Văn Dịu,Hoàng Thị Hoà</t>
  </si>
  <si>
    <t>Nguyễn Văn Doản,Đoàn Thị Thanh</t>
  </si>
  <si>
    <t>Nguyễn Văn Doản,Nguyễn Thị Đương</t>
  </si>
  <si>
    <t>3T-554/3,642/3</t>
  </si>
  <si>
    <t>Nguyễn Văn Duẩn,Lê Thị Huyền</t>
  </si>
  <si>
    <t>Nguyễn Văn Hào</t>
  </si>
  <si>
    <t>2T-228/3</t>
  </si>
  <si>
    <t>Nguyễn Văn Hinh,Đặng Thị Miền</t>
  </si>
  <si>
    <t>Nguyễn Văn Hiu,Nguyễn Thị Hoan</t>
  </si>
  <si>
    <t>3T-253/3,591/3</t>
  </si>
  <si>
    <t>Nguyễn Văn Hô,Lê Thị Lương</t>
  </si>
  <si>
    <t>Nguyễn Văn Hoả,Văn Thị Lương</t>
  </si>
  <si>
    <t>Nguyễn Văn Hoan,Hoàng Thị ảnh</t>
  </si>
  <si>
    <t>Nguyễn Văn Hoạt, HƯNG</t>
  </si>
  <si>
    <t>Nguyễn Văn Hoạt,Lê Thị Phất</t>
  </si>
  <si>
    <t>4T</t>
  </si>
  <si>
    <t>Nguyễn Văn Huyên,Nguyễn Thị Thoa</t>
  </si>
  <si>
    <t>3T-43/3,606/3</t>
  </si>
  <si>
    <t>Nguyễn Văn Khích,Lê Thị Tiến</t>
  </si>
  <si>
    <t>Nguyễn Văn Khôi</t>
  </si>
  <si>
    <t>Nguyễn Văn Khu,Lê Thị Gấm</t>
  </si>
  <si>
    <t>3T-163/2,497/3</t>
  </si>
  <si>
    <t>Nguyễn Văn Khuyến,Lê Thị Phiệt</t>
  </si>
  <si>
    <t>Nguyễn Văn Kiểu,Nguyễn Thị Chấn</t>
  </si>
  <si>
    <t>Nguyễn Văn Lanh,Nguyễn Thị Hoà</t>
  </si>
  <si>
    <t>3T-563/3,636/3</t>
  </si>
  <si>
    <t>Nguyễn Văn Lự,Lê Thị Mạo</t>
  </si>
  <si>
    <t>Nguyễn Văn Ly,Trần Thị Vần</t>
  </si>
  <si>
    <t>Nguyễn Văn Mão,Lê Thị Hà</t>
  </si>
  <si>
    <t>Nguyễn Văn Nam,Nguyễn Thị Hảo</t>
  </si>
  <si>
    <t>Nguyễn Văn Năm,Nguyễn Thị Oanh</t>
  </si>
  <si>
    <t>Nguyễn Văn Nền,Lê Thị Thôn</t>
  </si>
  <si>
    <t>2T-59/2</t>
  </si>
  <si>
    <t>Nguyễn Văn Nên,Nguyễn Thị Miền</t>
  </si>
  <si>
    <t>4T-30/3,619/3,208/12</t>
  </si>
  <si>
    <t>Nguyễn Văn Nghi,Nguyễn Thị SIU</t>
  </si>
  <si>
    <t>3T-553/3,643/3</t>
  </si>
  <si>
    <t>Nguyễn Văn Nhất,Đặng Thị Thu</t>
  </si>
  <si>
    <t>Nguyễn Văn Nhỡ,Nguyễn Thị Gấm</t>
  </si>
  <si>
    <t>2T-625/3,</t>
  </si>
  <si>
    <t>Nguyễn Văn Phiên,Nguyễn Thị Ninh</t>
  </si>
  <si>
    <t>Nguyễn Văn Quân,Vũ Thị Thủy</t>
  </si>
  <si>
    <t>Nguyễn Văn Sao,Lê Thị Kiển</t>
  </si>
  <si>
    <t>Nguyễn Văn Soạn,Lê Thị Là</t>
  </si>
  <si>
    <t>3T-40/3,609/3</t>
  </si>
  <si>
    <t>Nguyễn Văn Thạc,Đặng Thị Phương</t>
  </si>
  <si>
    <t>Nguyễn Văn Thận</t>
  </si>
  <si>
    <t>Đặng Đình Thống, Lê Thị Thơ</t>
  </si>
  <si>
    <t>3T-59/2,569/3</t>
  </si>
  <si>
    <t>Nguyễn Văn Thắng,Ngô Thị Vụ</t>
  </si>
  <si>
    <t>3T-29/3,620/3</t>
  </si>
  <si>
    <t>Nguyễn Văn Thành,Nguyễn Thị Hải</t>
  </si>
  <si>
    <t>3T-547/3,649/3</t>
  </si>
  <si>
    <t>Nguyễn Văn Thạo,Đỗ Thị Thể</t>
  </si>
  <si>
    <t>2T-148/2</t>
  </si>
  <si>
    <t>Nguyễn Văn Thạo,Hoàng Thị Tô</t>
  </si>
  <si>
    <t>3T-62/2,231/3</t>
  </si>
  <si>
    <t>Nguyễn Văn Thể,Nguyễn Thị Thoa</t>
  </si>
  <si>
    <t>Nguyễn Văn Thiệp,Đặng Thị Bình</t>
  </si>
  <si>
    <t>Nguyễn Văn Thổ,Văn Thị Thanh</t>
  </si>
  <si>
    <t>Nguyễn Văn Thoát</t>
  </si>
  <si>
    <t>Nguyễn Văn Thơi,Lê Thị Bàng</t>
  </si>
  <si>
    <t>Nguyễn Văn Thông</t>
  </si>
  <si>
    <t>Nguyễn Văn Thúy,Nguyễn Thị Hồng</t>
  </si>
  <si>
    <t>2T-,627/3</t>
  </si>
  <si>
    <t>Nguyễn Văn Tịu,Nguyễn Thị Sáo</t>
  </si>
  <si>
    <t>Nguyễn Văn Triền,Nguyễn Thị Mài</t>
  </si>
  <si>
    <t>3T-240/3,579/3</t>
  </si>
  <si>
    <t>Nguyễn Văn Trực,Nguyễn Thị Hạnh</t>
  </si>
  <si>
    <t>3T-24/3,623/3,</t>
  </si>
  <si>
    <t>Nguyễn Văn Túy,Phạm Thị Vân+ thuỵ + Dưỡng</t>
  </si>
  <si>
    <t>3T-294/3,97/7</t>
  </si>
  <si>
    <t>Nguyễn Văn Tuyển</t>
  </si>
  <si>
    <t>Nguyễn Văn Viêm- ĐỐI + ĐOẢN</t>
  </si>
  <si>
    <t>3T-577/3,239/3</t>
  </si>
  <si>
    <t>Nguyễn Văn Xiêng,Nguyễn Thị Tươi</t>
  </si>
  <si>
    <t>Nguyễn Văn Yến,Đỗ Thị Lan</t>
  </si>
  <si>
    <t>3T-25/3,624/3</t>
  </si>
  <si>
    <t>Nguyễn Xuân Đài,Đặng Thị Lờ</t>
  </si>
  <si>
    <t>3T-154/2,559/3</t>
  </si>
  <si>
    <t>Nguyễn Xuân Đông,Nguyễn Thị Xuân</t>
  </si>
  <si>
    <t>Nguyễn Xuân Hào,Nguyễn Thị Khiếu</t>
  </si>
  <si>
    <t>2T-629/3,</t>
  </si>
  <si>
    <t>Phạm Đức Hành,Lê Thị Chiến</t>
  </si>
  <si>
    <t>Phạm Đức Kừu,Nguyễn Thị Thơm</t>
  </si>
  <si>
    <t>Phạm Đức Lưu,Nguyễn Thị Nhớn</t>
  </si>
  <si>
    <t>Phạm Đức Lý</t>
  </si>
  <si>
    <t>Phạm Thị Kịch,Nguyễn Văn Vở</t>
  </si>
  <si>
    <t>Phạm Thị Thoát,Lê Văn Thự</t>
  </si>
  <si>
    <t>3T-47/3,603/3</t>
  </si>
  <si>
    <t>Phạm Thị Vẻ</t>
  </si>
  <si>
    <t>Phạm Văn Thắng,Lê Thị Khuyến</t>
  </si>
  <si>
    <t>Sân Vận Động Thôn Kiến Châu</t>
  </si>
  <si>
    <t>Trần Đình Văn,Đặng Thị Xiển</t>
  </si>
  <si>
    <t>Trần Quang Năng,Nguyễn Thị Thủy</t>
  </si>
  <si>
    <t>Trần Quốc Khánh,Vũ Thị Thoa</t>
  </si>
  <si>
    <t>Trần Thanh Dung,Nguyễn Thị Thơ</t>
  </si>
  <si>
    <t>LNK</t>
  </si>
  <si>
    <t>Trần Thị Đảo,Trần Quang Chắm</t>
  </si>
  <si>
    <t>Trần Thị Hiền</t>
  </si>
  <si>
    <t>Trần Thị Khoai</t>
  </si>
  <si>
    <t>Trần Thị Mai</t>
  </si>
  <si>
    <t>Trần Thị Thảo</t>
  </si>
  <si>
    <t>2T - 237/2</t>
  </si>
  <si>
    <t>Trần Văn Căn,Trần Thị Miễn</t>
  </si>
  <si>
    <t>Trần Văn Chép,Trần Thị Dùng</t>
  </si>
  <si>
    <t>Trần Văn Hơn,Lê Thị Cờ</t>
  </si>
  <si>
    <t>Trần Văn Kế,Nguyễn Thị Duyến</t>
  </si>
  <si>
    <t>Trần Văn Quyết,Lê Thị Thoán</t>
  </si>
  <si>
    <t>Trần Văn Tăng,Đặng Thị Nhùng</t>
  </si>
  <si>
    <t>3T-50/3,600/3</t>
  </si>
  <si>
    <t>Trần Văn Thắng- SƠN</t>
  </si>
  <si>
    <t>Trịnh Thị Bính</t>
  </si>
  <si>
    <t>Trịnh Thị Mão</t>
  </si>
  <si>
    <t>Trịnh Thị Muốn</t>
  </si>
  <si>
    <t>Trịnh Trọng Đồng,Ngô Thị Nghĩa</t>
  </si>
  <si>
    <t>Trịnh Trung Chữ,Đỗ Thị Hoản</t>
  </si>
  <si>
    <t>Trịnh Văn Chiến,Lê Thị Như</t>
  </si>
  <si>
    <t>2T-25/7</t>
  </si>
  <si>
    <t>Trịnh Văn Đắc,Phạm Thị Hằng</t>
  </si>
  <si>
    <t>Trịnh Văn Diễm,Đặng Thị Thiết</t>
  </si>
  <si>
    <t>Trịnh Văn Hoả,Phạm Thị Mây</t>
  </si>
  <si>
    <t>Trịnh Văn Mùi,Hoàng Thị Nhạn</t>
  </si>
  <si>
    <t>Trịnh Văn Nghĩa,Nguyễn Thị Thắm</t>
  </si>
  <si>
    <t>Trịnh Văn Thụy,Nguyễn Thị Nghĩa</t>
  </si>
  <si>
    <t>Trịnh Văn Tứ,Nguyễn Thị Định</t>
  </si>
  <si>
    <t>Trịnh Văn úc,Đặng Thị Chuật (bảy+ tám)</t>
  </si>
  <si>
    <t>Trịnh Văn úc,Đặng Thị Chuật</t>
  </si>
  <si>
    <t>Trịnh Xuân Chu,Đặng Thị Thoa</t>
  </si>
  <si>
    <t>Trịnh Xuân Thủy,Lê Thị Dân</t>
  </si>
  <si>
    <t>Trương Thị Thảo</t>
  </si>
  <si>
    <t>Vũ Thị Thục</t>
  </si>
  <si>
    <t>Vũ Văn Luận,Nguyễn  Thị Thắng</t>
  </si>
  <si>
    <t>3T-246/3,584/3</t>
  </si>
  <si>
    <t>Nguyễn Văn Khơi,Hoàng Thị Thu</t>
  </si>
  <si>
    <t>Trịnh Văn Vị</t>
  </si>
  <si>
    <t>Thông tin thửa đất thu hồi</t>
  </si>
  <si>
    <t>Tỷ lệ % thu hồi</t>
  </si>
  <si>
    <t>Số tháng hỗ trợ</t>
  </si>
  <si>
    <t>Kinh phí bồi thường, hỗ trợ đối với phần diện tích thu hồi</t>
  </si>
  <si>
    <t>Kinh phí bồi thường, hỗ trợ đối với cây trồng, hoa màu, công trình, vật kiến trúc bị ảnh hưởng</t>
  </si>
  <si>
    <t>Tổng kinh phí (đồng)</t>
  </si>
  <si>
    <t>Theo thông báo thu hồi đất</t>
  </si>
  <si>
    <t>Theo BBXD nguồn gốc đất</t>
  </si>
  <si>
    <t>GHI Chú (tổng số thửa đất)</t>
  </si>
  <si>
    <t>Tổng diện tích đất thu hồi (m2)</t>
  </si>
  <si>
    <t>Đơn giá (đ/m2)</t>
  </si>
  <si>
    <t>Kinh phí bồi thường về đất (đồng)</t>
  </si>
  <si>
    <t>Kinh phí hỗ trợ chuyển đổi nghề (3x80.000)</t>
  </si>
  <si>
    <t>Kinh phí hỗ trợ ổn đời sống (17.000đ/1kg)</t>
  </si>
  <si>
    <t>Tổng kinh phí bồi thường, hỗ trợ về đất</t>
  </si>
  <si>
    <t>Thành tiền (đồng)</t>
  </si>
  <si>
    <t>Tổng kinh phí bồi thường, hỗ trợ cây trồng, hoa màu, công trình (đồng)</t>
  </si>
  <si>
    <t>27=26+18</t>
  </si>
  <si>
    <t>Cây trồng chính chưa đủ mật độ</t>
  </si>
  <si>
    <t>đồng/khóm</t>
  </si>
  <si>
    <t>TSN</t>
  </si>
  <si>
    <t>Cây trồng chính vượt mật độ</t>
  </si>
  <si>
    <t>Giếng</t>
  </si>
  <si>
    <t>đồng/m</t>
  </si>
  <si>
    <t>Chuyên canh  01 loại cây trồng</t>
  </si>
  <si>
    <t>Phạm Thị Nẩy</t>
  </si>
  <si>
    <t>Nguyễn Văn Hợp, Đỗ Thị Liễu</t>
  </si>
  <si>
    <t>Lê Thị Síu, Lê Thị Ngãi</t>
  </si>
  <si>
    <t>Đỗ Ngọc Tiên, Đỗ Thị Xuân</t>
  </si>
  <si>
    <t>Mật độ theo quy định
(cây/m2)</t>
  </si>
  <si>
    <t>XÓM 12</t>
  </si>
  <si>
    <t>Đỗ Thị Trò, Đỗ Chí Sủng (chết)</t>
  </si>
  <si>
    <t>Nguyễn Thị Sinh, Đỗ Chí Tuấn (chết)</t>
  </si>
  <si>
    <t>Đỗ Thị Vĩnh; Đỗ Đắc Hải (Chết)</t>
  </si>
  <si>
    <t>Hồ Ngọc Hòa (đại diện cho bà Hồ Thị Tư (Chết))</t>
  </si>
  <si>
    <t>Lê Văn Nghị; Đỗ Thị Bồng</t>
  </si>
  <si>
    <t>Vũ Đình Tới, Đào Thị Chiến</t>
  </si>
  <si>
    <t>m3</t>
  </si>
  <si>
    <t>Chuyên canh  01 loại cây trồng; Vượt mật độ</t>
  </si>
  <si>
    <t>Đỗ Đắc Phi,Nguyễn Thị Cúc</t>
  </si>
  <si>
    <t>1. Cây nhãn giống</t>
  </si>
  <si>
    <t>2. Lưới B40 có khung thép</t>
  </si>
  <si>
    <t>3. Giếng khoan</t>
  </si>
  <si>
    <t>1. Cây bưởi ĐK gốc 12cm ≤ ĐK ≤ 20cm (cây trồng chính)</t>
  </si>
  <si>
    <t>- Trong mật độ</t>
  </si>
  <si>
    <t>2. Cây bưởi ĐK gốc 8cm ≤ ĐK &lt;12cm (cây trồng chính)</t>
  </si>
  <si>
    <t>- Vượt mật độ ≤ 30%</t>
  </si>
  <si>
    <t>- Vượt mật độ &gt; 30%</t>
  </si>
  <si>
    <t>4. Cột bê tông</t>
  </si>
  <si>
    <t>5. Giếng khoan</t>
  </si>
  <si>
    <t>Hoàng Thị Khán (Đỗ Thị Hoa thầu đất)</t>
  </si>
  <si>
    <t>Cây trồng chính thiếu mật độ</t>
  </si>
  <si>
    <t>2. Cây bưởi (bòng) ĐK gốc 12cm ≤ Φ &lt;20cm (cây trồng xen)</t>
  </si>
  <si>
    <t>4. Cây hồng xiêm 2cm ≤ ĐK gốc &lt;7cm (cây trồng xen)</t>
  </si>
  <si>
    <t>5. Khóm chuối không có buồng (cây trồng xen)</t>
  </si>
  <si>
    <t>6. Khóm chuối có cây có buồng quả (cây trồng xen)</t>
  </si>
  <si>
    <t>7. Tường rào xây gạch bổ trụ 220, tường xây 110, trát vữa XM, quét vôi ve, cao ≤ 2,5m</t>
  </si>
  <si>
    <t>8. Cột BTCT, trát vữa XM, quét vôi ve</t>
  </si>
  <si>
    <t>9. Lưới B40 không có khung thép</t>
  </si>
  <si>
    <t>10. Giếng khoan</t>
  </si>
  <si>
    <t>2. Khóm chuối có cây có buồng quả</t>
  </si>
  <si>
    <t>3. Khóm chuối không có buồng</t>
  </si>
  <si>
    <t>4. Cây quất ĐK gốc 2cm ≤ Φ &lt;7cm</t>
  </si>
  <si>
    <t>5. Cây đại ĐK gốc từ 15cm ≤ Φ &lt;20cm</t>
  </si>
  <si>
    <t>6. Cây ngâu ĐK gốc &gt;8cm</t>
  </si>
  <si>
    <t>7. Tường rào xây gạch 220, trát vữa XM, quét vôi ve, cao ≤ 2,5m</t>
  </si>
  <si>
    <t>8. Giếng khoan</t>
  </si>
  <si>
    <t>9. Cổng thép mặt bưng tôn, khung thép hộp, lan sắt vuông 10x10</t>
  </si>
  <si>
    <t>Đỗ Thị Gái (Đã chết), Đỗ Thị Thịnh (Đỗ Văn Tư thầu đất)</t>
  </si>
  <si>
    <t>1. Nhãn giống</t>
  </si>
  <si>
    <t>Đỗ Văn Quế, Đỗ Thị Huệ (Đỗ Thị Hoa thầu đất)</t>
  </si>
  <si>
    <t>cây chính vượt mật độ</t>
  </si>
  <si>
    <t>2. Khóm chuối có cây có buồng quả (cây trồng chính)</t>
  </si>
  <si>
    <t>3. Khóm chuối không có buồng (cây trồng chính)</t>
  </si>
  <si>
    <t>Đỗ Như Thức, Đỗ Thị Út Hường</t>
  </si>
  <si>
    <t>Cây chính thiếu mật độ</t>
  </si>
  <si>
    <t>2. Cây nhãn ĐK gốc 20cm ≤ ĐK ≤ 30cm (cây trồng chính)</t>
  </si>
  <si>
    <t>3. Cây bưởi ĐK gốc 8cm ≤ ĐK &lt; 12cm (cây trồng xen)</t>
  </si>
  <si>
    <t>4. Sân bê tông</t>
  </si>
  <si>
    <t>Đỗ Thị Lựu; Nguyễn Văn Ánh</t>
  </si>
  <si>
    <t>1. Cây nhãn ĐK gốc &gt; 30cm (cây trồng chính)</t>
  </si>
  <si>
    <t>3. Cây nhãn ĐK gốc 12cm ≤ ĐK &lt; 20cm (cây trồng chính)</t>
  </si>
  <si>
    <t>4. Cây bưởi ĐK gốc 12cm ≤ ĐK ≤ 20cm (cây trồng xen)</t>
  </si>
  <si>
    <t>2. Cây bưởi ĐK gốc 12cm ≤ ĐK ≤ 20cm (cây trồng xen)</t>
  </si>
  <si>
    <t>Đỗ Khắc Hùng, Nguyễn Thị Hưng</t>
  </si>
  <si>
    <t>2. Tường rào xây gạch bổ trụ 220, tường xây 110, trát vữa XM, quét vôi ve, cao ≤ 2,5m</t>
  </si>
  <si>
    <t>3. Bể nước đáy đổ BTCT, thành bể xây gạch, không nắp đậy BTCT</t>
  </si>
  <si>
    <t>4. Giếng khoan</t>
  </si>
  <si>
    <t>1.  Cây nhãn ĐK gốc &gt; 30cm (cây chuyên canh)</t>
  </si>
  <si>
    <t>Đỗ Khắc Thân; Bá Thị Hân</t>
  </si>
  <si>
    <t>2. Nhãn giống</t>
  </si>
  <si>
    <t>3. Cây bưởi ĐK gốc 12cm ≤ ĐK ≤ 20cm (cây trồng xen)</t>
  </si>
  <si>
    <t>4. Cây táo ĐK gốc &gt; 30cm (cây trồng xen)</t>
  </si>
  <si>
    <t>5. Tường rào xây gạch bổ trụ 220, tường xây 110, trát vữa XM, quét vôi ve, cao ≤ 2,5m</t>
  </si>
  <si>
    <t>6. Rãnh thoát nước xây gạch 110, không nắp đậy BTCT, rộng B ≤300</t>
  </si>
  <si>
    <t>7. Bể nước đáy đổ BTCT, thành bể xây gạch, không nắp đậy BTCT</t>
  </si>
  <si>
    <t>8. Giếng khơi thành xây gạch</t>
  </si>
  <si>
    <t>9. Giếng khoan</t>
  </si>
  <si>
    <t>10. Cột BTCT, trát vữa XM, quét vôi ve</t>
  </si>
  <si>
    <t>11. Lưới B40 có khung thép</t>
  </si>
  <si>
    <t>Đỗ Văn Phi, Đỗ Thị Chính</t>
  </si>
  <si>
    <t>1. Cây bưởi ĐK gốc 8cm ≤ ĐK &lt;12cm (cây trồng chính)</t>
  </si>
  <si>
    <t>2. Cây hồng xiêm ĐK gốc 2cm ≤ ĐK &lt; 7cm (cây trồng xen)</t>
  </si>
  <si>
    <t>3. Khóm chuối có cây có buồng quả (cây trồng xen)</t>
  </si>
  <si>
    <t>4. Khóm chuối không có buồng (cây trồng xen)</t>
  </si>
  <si>
    <t>5. Xen canh hoa huệ</t>
  </si>
  <si>
    <t>6. Tường rào xây gạch bổ trụ 220, tường xây 110, trát vữa XM, quét vôi ve, cao ≤ 2,5m</t>
  </si>
  <si>
    <t>7. Giếng khoan</t>
  </si>
  <si>
    <t>- 30% số cây xen trong mật độ</t>
  </si>
  <si>
    <t>- Vượt mật độ</t>
  </si>
  <si>
    <t>3. Tường rào xây gạch bổ trụ 220, tường xây 110, trát vữa XM, quét vôi ve, cao ≤ 2,5m</t>
  </si>
  <si>
    <t>4. Khóm chuối có cây có buồng quả (cây trồng xen)</t>
  </si>
  <si>
    <t>Đỗ Đắc Nam, Bá Thị Mai (Đỗ Thị Hoa thầu đất)</t>
  </si>
  <si>
    <t>1. Cá rô đồng (Từ khi thả đến dưới 2 tháng)</t>
  </si>
  <si>
    <t>Đỗ Văn Khoa, Đỗ Thị Xâm (Đỗ Thị Hoa thầu đất)</t>
  </si>
  <si>
    <t>chuyên canh</t>
  </si>
  <si>
    <t>Đỗ Văn Phúc; Nguyễn Thị Lan</t>
  </si>
  <si>
    <t>Đỗ Chí Cần, Bùi Thị Thoảng</t>
  </si>
  <si>
    <t>2. Cây nhãn ĐK gốc &gt; 30cm (cây trồng chính)</t>
  </si>
  <si>
    <t>3. Cây cau ăn quả ĐK gốc 15cm ≤ ĐK &lt; 20cm (cây trồng xen)</t>
  </si>
  <si>
    <t>- 30% số cây trồng xen trong mật độ</t>
  </si>
  <si>
    <t>2. Cây táo ĐK gốc &gt; 30cm (cây trồng chính)</t>
  </si>
  <si>
    <t>3. Cột BTCT, trát vữa XM, quét vôi ve</t>
  </si>
  <si>
    <t>Đỗ Đắc Định, Lê Thị Bình, Trần Thị Xu (Đã chết)</t>
  </si>
  <si>
    <t>2. Cột BTCT, trát vữa XM, quét vôi ve</t>
  </si>
  <si>
    <t>Đỗ Khắc Sang, Nguyễn Thị Thúy</t>
  </si>
  <si>
    <t>Đỗ Đắc Phức, Nguyễn Thị Xuyến</t>
  </si>
  <si>
    <t>2. Giếng khoan</t>
  </si>
  <si>
    <t>3. Sân bê tông</t>
  </si>
  <si>
    <t>4. Tường rào xây gạch bổ trụ 220, tường xây 110, trát vữa XM, quét vôi ve, cao ≤ 2,5m</t>
  </si>
  <si>
    <t>5. Cột BTCT, trát vữa XM, quét vôi ve</t>
  </si>
  <si>
    <t>6. Cổng thép mặt bưng tôn, khung thép hộp, lan sắt vuông 10x10</t>
  </si>
  <si>
    <t>Đỗ Văn Dũng; Nguyễn Thị Thanh</t>
  </si>
  <si>
    <t>3. Cây cau ăn quả 12cm ≤ Đk gốc &lt;15cm (cây trồng xen)</t>
  </si>
  <si>
    <t>4. Cây mít 8cm &lt; Đk gốc ≤ 15cm (cây trồng xen)</t>
  </si>
  <si>
    <t>Đỗ Thị Thu</t>
  </si>
  <si>
    <t>Cây trồng chính đủ mật độ</t>
  </si>
  <si>
    <t>2. Cây nhãn ĐK gốc &gt; 30cm (cây trồng xen)</t>
  </si>
  <si>
    <t>2. Cây bưởi ĐK gốc 12cm ≤ ĐK ≤ 20cm (cây trồng chính)</t>
  </si>
  <si>
    <t>3. Cây bưởi ĐK gốc 8cm ≤ ĐK &lt;12cm</t>
  </si>
  <si>
    <t>6. Cột BTCT, trát vữa XM, quét vôi ve</t>
  </si>
  <si>
    <t>Đỗ Bá Xạ(chết), Đỗ Thị Cỏn(chết), Đỗ Bá Trọng</t>
  </si>
  <si>
    <t xml:space="preserve">1. Khóm chuối có cây có buồng quả </t>
  </si>
  <si>
    <t>2. Khóm chuối không có buồng</t>
  </si>
  <si>
    <t>3. Xen canh rau muống</t>
  </si>
  <si>
    <t>3. Cây mít 8cm &lt; Đk gốc ≤ 15cm (cây trồng xen)</t>
  </si>
  <si>
    <t xml:space="preserve">4. Khóm chuối có cây có buồng quả </t>
  </si>
  <si>
    <t>5. Khóm chuối không có buồng</t>
  </si>
  <si>
    <t>6. Giếng khoan</t>
  </si>
  <si>
    <t>cây chính đủ mật độ</t>
  </si>
  <si>
    <t>2. Cây mít 8cm &lt; Đk gốc ≤ 15cm (cây trồng xen)</t>
  </si>
  <si>
    <t>3. Cây hồng xiêm 7cm ≤ ĐK &lt; 12cm (cây trồng xen)</t>
  </si>
  <si>
    <t>4. Cây cau ăn quả 12cm ≤ Đk gốc &lt;15cm (cây trồng xen)</t>
  </si>
  <si>
    <t>Đỗ Khắc Khoa, Tường Thị Quý</t>
  </si>
  <si>
    <t>Đỗ Bá Trung, Nguyễn Thị Thế</t>
  </si>
  <si>
    <t>cây chính thiếu mật độ</t>
  </si>
  <si>
    <t>3. Cây ổi 2cm ≤ Đk gốc &lt; 7cm (cây trồng xen)</t>
  </si>
  <si>
    <t>4. Cây xoài 8cm ≤  Đk gốc &lt; 12cm (cây trồng xen)</t>
  </si>
  <si>
    <t>5. Sân bê tông</t>
  </si>
  <si>
    <t>6, Tường rào xây gạch bổ trụ 220, tường xây 110, trát vữa XM, quét vôi ve, cao ≤ 2,5m</t>
  </si>
  <si>
    <t>7, Cổng thép mặt bưng tôn, khung thép hộp, lan sắt vuông 10x10</t>
  </si>
  <si>
    <t>Đỗ Thị Mai, Ngô Mạnh Hải, Đỗ Văn Huy</t>
  </si>
  <si>
    <t>2. Cây mít 15cm &lt; Đk gốc ≤ 25cm (cây trồng xen)</t>
  </si>
  <si>
    <t>3. Cây cau ăn quả 15cm ≤ Đk gốc &lt;20cm (cây trồng xen)</t>
  </si>
  <si>
    <t>Bùi Thị Chi, Lê Minh Đức</t>
  </si>
  <si>
    <t>1. Cây xoài 20cm ≤  Đk gốc &lt; 30cm (cây trồng chính)</t>
  </si>
  <si>
    <t>2. Khóm chuối có cây có buồng quả (cây trồng xen)</t>
  </si>
  <si>
    <t>3. Khóm chuối không có buồng (cây trồng xen)</t>
  </si>
  <si>
    <t>1. Cây nhãn 20cm ≤ Đk gốc &lt;30cm (cây trồng chính)</t>
  </si>
  <si>
    <t>cáy chính đủ mật độ</t>
  </si>
  <si>
    <t>2. Cây cau ĐK gốc 9cm ≤ Φ &lt;12cm (cây trồng xen)</t>
  </si>
  <si>
    <t>Đỗ Khắc Mạnh, Đỗ Thị Thiết (Đỗ Như Tiến thầu đất)</t>
  </si>
  <si>
    <t>Đỗ Thị Yến (Đỗ Như Tiến thầu đất)</t>
  </si>
  <si>
    <t>Đỗ Thị Lan, Chu Văn Nam (Đỗ Như Tiến thầu đất)</t>
  </si>
  <si>
    <t>Lê Thị Bạo</t>
  </si>
  <si>
    <t>Cây chính vượt mật độ</t>
  </si>
  <si>
    <t>2. Hoa lily</t>
  </si>
  <si>
    <t>3. Cây bưởi ĐK gốc 12cm ≤ ĐK ≤ 20cm (cây trồng chính)</t>
  </si>
  <si>
    <t>4. Cây bưởi ĐK gốc 8cm ≤ ĐK &lt;12cm (cây trồng chính)</t>
  </si>
  <si>
    <t>1. Hoa lily</t>
  </si>
  <si>
    <t>Số cây cho phép theo mật độ</t>
  </si>
  <si>
    <t>3. Xen canh cây dong</t>
  </si>
  <si>
    <t>3. Cây mít 8cm ≤ Đk gốc ≤ 15 cm (cây trồng xen)</t>
  </si>
  <si>
    <t>2. Xen canh cây dong (cây hàng năm)</t>
  </si>
  <si>
    <t>4. Nhà 1 tầng bán kiên cố, tường chịu lực xây gạch 110, nền lót vữa XM, trát tường và quét vôi ve. Mái lợp tôn cao 3.4-3.5m</t>
  </si>
  <si>
    <t>5. Đường bê tông dày 100, mác 200</t>
  </si>
  <si>
    <t>7. Lưới B40 không có khung thép</t>
  </si>
  <si>
    <t>8. Rãnh thoát nước xây gạch 110, có nắp đậy BTCT, rộng B ≤300</t>
  </si>
  <si>
    <t>9. Bể nước đáy đổ BTCT, thành bể xây gạch, có nắp đậy BTCT</t>
  </si>
  <si>
    <t>11. Cột BTCT, trát vữa XM, quét vôi ve</t>
  </si>
  <si>
    <t>12. Cổng thép mặt bưng tôn, khung thép hộp, lan sắt vuông 10x10</t>
  </si>
  <si>
    <t xml:space="preserve">- Vượt mật độ </t>
  </si>
  <si>
    <t>chuyên canh vượt mật độ</t>
  </si>
  <si>
    <t>5. Cây nhãn 12cm ≤ ĐK &lt;20cm (cây trồng xen)</t>
  </si>
  <si>
    <t>6. Cây hồng xiêm 7cm ≤ ĐK &lt;12cm (cây trồng xen)</t>
  </si>
  <si>
    <t>7. Cây vú sữa 2cm ≤ ĐK &lt;5cm (cây trồng xen)</t>
  </si>
  <si>
    <t>9. Nhà 1 tầng bán kiên cố, tường chịu lực xây gạch 110, nền lót vữa XM, trát tường và quét vôi ve. Mái lợp tôn cao 3m-3.1m</t>
  </si>
  <si>
    <t>10. Mái đua nổi với công trình chính, không xây tường, độ thấp nhất của mái gianh trung bình bằng 3m. Mái lợp tôn mạ màu</t>
  </si>
  <si>
    <t>11. Bể nước đáy đổ BTCT, thành bể xây gạch, không nắp đậy BTCT</t>
  </si>
  <si>
    <t>7. Lưới B40 có khung thép</t>
  </si>
  <si>
    <t>9. Bể nước đáy đổ BTCT, thành bể xây gạch, không nắp đậy BTCT</t>
  </si>
  <si>
    <t>10. Rãnh thoát nước xây gạch 110, có nắp đậy BTCT, rộng B ≤300</t>
  </si>
  <si>
    <t>Nguyễn Thị Thê (Đã chết), Đỗ Đắc Xuân, Tường Thị Hạnh</t>
  </si>
  <si>
    <t>Nguyễn Thị Thê (Đã chết), Đỗ Đắc Xuân, Tường Thị Hạnh (Đỗ Thị Hoa thầu đất)</t>
  </si>
  <si>
    <t xml:space="preserve">Vũ Đình Hồng </t>
  </si>
  <si>
    <t xml:space="preserve">Đỗ Thị Hồng  </t>
  </si>
  <si>
    <t>Đỗ Như Lan</t>
  </si>
  <si>
    <t>Đỗ Văn Bạo</t>
  </si>
  <si>
    <t>Đỗ Hữu Hà, Đỗ Thị An Thúy</t>
  </si>
  <si>
    <t>Đỗ Quang Minh,Lê Thị Nga</t>
  </si>
  <si>
    <t>Đỗ Duy Cương,Đào Thị Bân</t>
  </si>
  <si>
    <t>Đỗ Thị Mỹ B</t>
  </si>
  <si>
    <t>Đỗ Thị Thân (đã chết)</t>
  </si>
  <si>
    <t>Đỗ Chí Chính,Đỗ Thị Linh</t>
  </si>
  <si>
    <t>1.Nuôi cá rô đồng từ khi thả đến dưới 2 tháng</t>
  </si>
  <si>
    <t>1.Cây nhãn (vải) giống</t>
  </si>
  <si>
    <t>5.Bể nước đáy đổ BTCT, thành bể xây gạch, không nắp đậy BTCT</t>
  </si>
  <si>
    <t xml:space="preserve">6.Tường xây 110 </t>
  </si>
  <si>
    <t>7.Cột bê tông (64*0.1*0.1*2)</t>
  </si>
  <si>
    <t>8.Xen canh cây dong</t>
  </si>
  <si>
    <t>9.Giếng khoan</t>
  </si>
  <si>
    <t>2.Tường ao 220 (1.5*66.5)</t>
  </si>
  <si>
    <t>2.Tường ao 220 (1.5*12)</t>
  </si>
  <si>
    <t>2.Cột bê tông (15*0.1*0.1*2)</t>
  </si>
  <si>
    <t>2.Lưới B40 không có khung thép (211*1)</t>
  </si>
  <si>
    <t>3.Cột bê tông (60*0.1*0.1*2)</t>
  </si>
  <si>
    <t>4.Giếng khoan</t>
  </si>
  <si>
    <t>1.Cá nước ngọt các loại từ khi thả đến dưới 4 tháng</t>
  </si>
  <si>
    <t>1.  Cây nhãn ĐK gốc &gt; 30cm (cây trồng chính)</t>
  </si>
  <si>
    <t>2. Cây bưởi ĐK gốc 8cm ≤ ĐK &lt;12cm (cây trồng xen)</t>
  </si>
  <si>
    <t xml:space="preserve">5.Xen canh khoai sọ </t>
  </si>
  <si>
    <t>6.Giếng khoan</t>
  </si>
  <si>
    <t>2.Cột bê tông (40*0.1*0.1*2)</t>
  </si>
  <si>
    <t>3.Giếng khoan</t>
  </si>
  <si>
    <t>Cây trồng chính 
vượt mật độ</t>
  </si>
  <si>
    <t>XÓM 11</t>
  </si>
  <si>
    <t>Họ và tên</t>
  </si>
  <si>
    <t>Đỗ Như Đức (con Ông Nghiệp)</t>
  </si>
  <si>
    <t>Lê Văn Thăng, Nguyễn Thị Thức, Trần Thị Ngâm (Đã chết) (Đỗ Thị Chiến thầu đất)</t>
  </si>
  <si>
    <t>XÓM 13</t>
  </si>
  <si>
    <t>TỔNG</t>
  </si>
  <si>
    <t>Tổng DT đất nông nghiệp đang sử dụng (m2)</t>
  </si>
  <si>
    <t>Diện tích đất công ích của xã (m2)</t>
  </si>
  <si>
    <t>Diện tích tiêu chuẩn tại thửa (m2)</t>
  </si>
  <si>
    <t xml:space="preserve"> Diện Tích theo TBTH (m2)</t>
  </si>
  <si>
    <t>1. Cây nhãn ĐK gốc &gt; 30cm (cây chuyên canh)</t>
  </si>
  <si>
    <t>1.Nuôi cá rô phi từ khi thả đến dưới 3 tháng</t>
  </si>
  <si>
    <t xml:space="preserve">2. Cây bưởi ĐK gốc 8cm ≤ ĐK &lt;12cm </t>
  </si>
  <si>
    <t xml:space="preserve">2. Khóm chuối có cây có buồng quả </t>
  </si>
  <si>
    <t xml:space="preserve">3. Khóm chuối không có buồng </t>
  </si>
  <si>
    <t>Đào Thị Mận, Đỗ Văn Thu (Đã Chết)</t>
  </si>
  <si>
    <r>
      <t>m</t>
    </r>
    <r>
      <rPr>
        <vertAlign val="superscript"/>
        <sz val="12"/>
        <rFont val="Times New Roman"/>
        <family val="1"/>
      </rPr>
      <t>3</t>
    </r>
  </si>
  <si>
    <t>1. Rau các loại, đậu đỗ các loại</t>
  </si>
  <si>
    <r>
      <t>đồng/m</t>
    </r>
    <r>
      <rPr>
        <vertAlign val="superscript"/>
        <sz val="12"/>
        <rFont val="Times New Roman"/>
        <family val="1"/>
      </rPr>
      <t>3</t>
    </r>
  </si>
  <si>
    <t>Đỗ Thị Hoa; Đỗ Đắc Thi (Đã Chết) (Đào Thị Mận thầu đất)</t>
  </si>
  <si>
    <t>Đỗ Đắc Ngọc (chết), Nguyễn Thị Giản (chết), Đỗ Đắc Ơn, Đỗ Thị Thuỷ, Đỗ Thị Thạch</t>
  </si>
  <si>
    <t>Đỗ Đắc Định, Lê Thị Bình, Trần Thị Xu (Đã chết)(Đỗ Văn Tư thầu đất)</t>
  </si>
  <si>
    <t>Đỗ Đắc Trà, Đỗ Thị Lý, Đỗ Đắc Thái</t>
  </si>
  <si>
    <t>4. Xen canh rau muống</t>
  </si>
  <si>
    <t>Đỗ Thị Xuân, Lê Văn Đồng (Đã chết) (Đỗ Như Tiến thầu đất)</t>
  </si>
  <si>
    <t>2. Cây cau ăn quả 15cm ≤ ĐK &lt;20cm (cây trồng chính)</t>
  </si>
  <si>
    <t>1. Cây nhãn ĐK gốc &gt;30 cm (cây trồng chính)</t>
  </si>
  <si>
    <t>1. Cây nhãn ĐK gốc &gt; 30 cm</t>
  </si>
  <si>
    <t>3.Cây nhãn (vải) 12cm ≤ Đk gốc &lt; 20cm (cây trồng chính)</t>
  </si>
  <si>
    <t>1. Cây nhãn 12cm ≤ Đk gốc &lt; 20cm (cây trồng chính)</t>
  </si>
  <si>
    <t>2. Cây nhãn 7cm ≤ ĐK gốc &lt; 12cm (cây trồng chính)</t>
  </si>
  <si>
    <t>2. Cây nhãn 20cm ≤ Đk gốc &lt; 30cm (cây trồng chính)</t>
  </si>
  <si>
    <t>2. Cây bưởi ĐK gốc 12cm ≤ ĐK  ≤ 20cm (cây trồng xen)</t>
  </si>
  <si>
    <t>2. Cây bưởi ĐK gốc 8cm ≤ ĐK &lt; 12cm(cây trồng chính)</t>
  </si>
  <si>
    <t>3.Cây mít 8cm ≤ ĐK gốc &lt; 15cm (vượt mật độ)</t>
  </si>
  <si>
    <t>2. Cây hồng xiêm 2cm ≤ ĐK &lt; 7cm (cây trồng xen)</t>
  </si>
  <si>
    <t>4.Cây chanh ĐK gốc 2cm ≤ ĐK &lt; 7cm (vượt mật độ)</t>
  </si>
  <si>
    <t>4.Cây chanh ĐK gốc 2cm ≤ ĐK &lt; 7cm (cây trồng xen)</t>
  </si>
  <si>
    <t>Đỗ Chí Thắng (Đã Chết); Đỗ Thị Hải (Đỗ Văn Tư thầu đất)</t>
  </si>
  <si>
    <t>Đỗ Thị Chiến, Đỗ Khắc Biện</t>
  </si>
  <si>
    <t>Ý kiến</t>
  </si>
  <si>
    <t>Đã nộp phiếu ý kiến, tuy nhiên đề nghị kiểm tra lại do thiếu diện tích</t>
  </si>
  <si>
    <t>Đã nộp phiếu, tuy nhiên đẻ lại do liên quan đến đất mua bán của nhà bà Dung Thái (Để thống nhất lại với người dân và với Trang)</t>
  </si>
  <si>
    <t>Đề nghị xác minh lại diện tích trong này có suất ruộng của bà Ban vợ o Thái</t>
  </si>
  <si>
    <t>Đã nộp phiếu đồng ý</t>
  </si>
  <si>
    <t>Đồng ý với PA BTHT. Tuy nhiên đề nghị chi trả 4 miếng ruộng để mộ nằm trong diện tích đất của gia đình</t>
  </si>
  <si>
    <t>Cây chuyên canh vượt mật độ</t>
  </si>
  <si>
    <t>Đồng ý với PA BTHT. Tuy nhiên đề nghị chi trả diện tích của hộ theo GCN VLAP là 465.5m2 (DT phê duyệt PA là 450m2 theo DT dồn thửa đổi ruộng năm 2003)</t>
  </si>
  <si>
    <t>2. Cây nhãn ĐK gốc 20cm ≤ ĐK ≤ 30cm (cây chuyên canh)</t>
  </si>
  <si>
    <t>3. Cổng thép mặt bưng tôn, khung thép hộp, lan sắt vuông 10x10</t>
  </si>
  <si>
    <t>Lê Văn Thọ</t>
  </si>
  <si>
    <t>1. Cây cau ĐK gốc 15cm ≤ ĐK &lt; 20cm (cây trồng chính)</t>
  </si>
  <si>
    <t>có 37m2 đường, sân bê tông phục vụ mộ</t>
  </si>
  <si>
    <t>Đồng ý PA BTHT. Đề nghị chi trả tiền xây tường rào, giếng khoan và hỗ trợ thêm cây cối</t>
  </si>
  <si>
    <t>2. Cây cau ĐK gốc 6cm ≤ ĐK &lt; 9cm (cây trồng chính)</t>
  </si>
  <si>
    <t>3. Cây bưởi ĐK gốc &gt; 20cm (cây trồng xen)</t>
  </si>
  <si>
    <t>Có 1 cây bưởi</t>
  </si>
  <si>
    <t>- 30% số cây trong mật độ</t>
  </si>
  <si>
    <t>4. Tường rào móng gạch, trát vữa XM, quét vôi ve, khoang hoa sắt vuông 10x10</t>
  </si>
  <si>
    <t>5. Trụ xây gạch, trát vữa XM, quét vôi ve</t>
  </si>
  <si>
    <t>6. Sân + Đường sân bê tông</t>
  </si>
  <si>
    <t>7. Cổng thép mặt bưng tôn, khung thép hộp, lan sắt vuông 10x10</t>
  </si>
  <si>
    <t xml:space="preserve">Vũ Thị Vinh, Lê Đình Hội (chết) </t>
  </si>
  <si>
    <t>Đồng ý PA BTHT. Đề nghị chi trả tiền xây tường rào, giếng khoan, bể nước</t>
  </si>
  <si>
    <t>3. Cây nhãn ĐK gốc 7cm ≤ ĐK gốc &lt;12cm (cây trồng chính)</t>
  </si>
  <si>
    <t>5. Cây cau ĐK gốc 6cm ≤ ĐK &lt; 9cm (cây trồng xen vượt mật độ)</t>
  </si>
  <si>
    <t>Cây xen thứ 2 ko tính</t>
  </si>
  <si>
    <t>7. Cột BTCT, trát vữa XM, quét vôi ve</t>
  </si>
  <si>
    <t>8. Lưới B40 có khung thép</t>
  </si>
  <si>
    <t>Công khai Đợt 1- 26 hộ</t>
  </si>
  <si>
    <r>
      <t xml:space="preserve">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Quyết định số 772/QĐ-UBND ngày 20/3/2026 của UBND xã Khoái Châu)</t>
    </r>
  </si>
  <si>
    <r>
      <t xml:space="preserve">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Tờ trình số 39/TTr- PKT ngày 20/3/2026 của Phòng Kinh tế xã Khoái Châu)</t>
    </r>
  </si>
  <si>
    <r>
      <t xml:space="preserve">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Biên bản làm việc ngày 20/3/2026 giữa Phòng Kinh tế xã Khoái Châu và Trung tâm PTQĐ số 01 tỉnh Hưng Yên</t>
    </r>
  </si>
  <si>
    <r>
      <t xml:space="preserve">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Thông báo số 03/TBTĐ ngày 20/3/2026 của Phòng Kinh tế xã Khoái Châu)</t>
    </r>
  </si>
  <si>
    <r>
      <t xml:space="preserve">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phương án số 04/PABTHT- UBND ngày 20/3/2026 của UBND xã Khoái Châu)</t>
    </r>
  </si>
  <si>
    <r>
      <t xml:space="preserve">(DỰ THẢO) PHƯƠNG ÁN CHI TIẾT BỒI THƯỜNG HỖ TRỢ KHI NHÀ NƯỚC THU HỒI ĐẤT THỰC HIỆN DỰ ÁN KHU PHỨC HỢP ĐÔ THỊ DU LỊCH SINH THÁI, SÂN GÔN KHOÁI CHÂU, TỈNH HƯNG YÊN 
TRÊN ĐỊA BÀN THÔN ĐÔNG KẾT, XÃ KHOÁI CHÂU
</t>
    </r>
    <r>
      <rPr>
        <b/>
        <i/>
        <sz val="16"/>
        <color theme="0"/>
        <rFont val="Times New Roman"/>
        <family val="1"/>
      </rPr>
      <t>(Kèm theo Thông báo số:          /TB-TTPTQĐ 01 ngày            /3/2026 của Trung tâm Phát triển quỹ đất số 01)</t>
    </r>
  </si>
  <si>
    <r>
      <t>m</t>
    </r>
    <r>
      <rPr>
        <vertAlign val="superscript"/>
        <sz val="12"/>
        <color theme="0"/>
        <rFont val="Times New Roman"/>
        <family val="1"/>
      </rPr>
      <t>3</t>
    </r>
  </si>
  <si>
    <r>
      <t>đồng/m</t>
    </r>
    <r>
      <rPr>
        <vertAlign val="superscript"/>
        <sz val="12"/>
        <color theme="0"/>
        <rFont val="Times New Roman"/>
        <family val="1"/>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</si>
</sst>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0.0"/>
    <numFmt numFmtId="166" formatCode="#,##0.0"/>
  </numFmts>
  <fonts count="40">
    <font>
      <sz val="11"/>
      <color theme="1"/>
      <name val="Calibri"/>
      <charset val="134"/>
      <scheme val="minor"/>
    </font>
    <font>
      <sz val="11"/>
      <name val="Times New Roman"/>
      <family val="1"/>
    </font>
    <font>
      <b/>
      <sz val="11"/>
      <name val="Times New Roman"/>
      <family val="1"/>
    </font>
    <font>
      <b/>
      <sz val="16"/>
      <name val="Times New Roman"/>
      <family val="1"/>
    </font>
    <font>
      <b/>
      <sz val="12"/>
      <name val="Times New Roman"/>
      <family val="1"/>
    </font>
    <font>
      <b/>
      <sz val="12"/>
      <color theme="1"/>
      <name val="Times New Roman"/>
      <family val="1"/>
    </font>
    <font>
      <sz val="12"/>
      <name val="Times New Roman"/>
      <family val="1"/>
    </font>
    <font>
      <sz val="13"/>
      <color rgb="FFFF0000"/>
      <name val="Times New Roman"/>
      <family val="1"/>
    </font>
    <font>
      <sz val="13"/>
      <name val="Times New Roman"/>
      <family val="1"/>
    </font>
    <font>
      <sz val="13"/>
      <color theme="1"/>
      <name val="Times New Roman"/>
      <family val="1"/>
    </font>
    <font>
      <sz val="13"/>
      <color theme="1"/>
      <name val="Times New Roman"/>
      <family val="1"/>
    </font>
    <font>
      <b/>
      <sz val="16"/>
      <color theme="1"/>
      <name val="Times New Roman"/>
      <family val="1"/>
    </font>
    <font>
      <sz val="11"/>
      <color theme="1"/>
      <name val="Calibri"/>
      <family val="2"/>
      <scheme val="minor"/>
    </font>
    <font>
      <sz val="11"/>
      <color indexed="8"/>
      <name val="Calibri"/>
      <family val="2"/>
    </font>
    <font>
      <sz val="11"/>
      <color indexed="8"/>
      <name val="Arial"/>
      <family val="2"/>
    </font>
    <font>
      <sz val="10"/>
      <name val="Arial"/>
      <family val="2"/>
    </font>
    <font>
      <sz val="11"/>
      <color theme="1"/>
      <name val="Arial"/>
      <family val="2"/>
    </font>
    <font>
      <b/>
      <i/>
      <sz val="16"/>
      <name val="Times New Roman"/>
      <family val="1"/>
    </font>
    <font>
      <sz val="11"/>
      <color rgb="FF000000"/>
      <name val="Calibri"/>
      <family val="2"/>
      <scheme val="minor"/>
    </font>
    <font>
      <sz val="9"/>
      <name val="Tahoma"/>
      <family val="2"/>
    </font>
    <font>
      <b/>
      <sz val="9"/>
      <name val="Tahoma"/>
      <family val="2"/>
    </font>
    <font>
      <b/>
      <sz val="13"/>
      <name val="Times New Roman"/>
      <family val="1"/>
    </font>
    <font>
      <sz val="12"/>
      <name val="Calibri"/>
      <family val="2"/>
    </font>
    <font>
      <vertAlign val="superscript"/>
      <sz val="12"/>
      <name val="Times New Roman"/>
      <family val="1"/>
    </font>
    <font>
      <b/>
      <i/>
      <sz val="12"/>
      <name val="Times New Roman"/>
      <family val="1"/>
    </font>
    <font>
      <sz val="12"/>
      <color theme="1"/>
      <name val="Times New Roman"/>
      <family val="1"/>
    </font>
    <font>
      <sz val="11"/>
      <color theme="1"/>
      <name val="Times New Roman"/>
      <family val="1"/>
    </font>
    <font>
      <b/>
      <sz val="9"/>
      <color indexed="81"/>
      <name val="Tahoma"/>
      <family val="2"/>
    </font>
    <font>
      <sz val="9"/>
      <color indexed="81"/>
      <name val="Tahoma"/>
      <family val="2"/>
    </font>
    <font>
      <b/>
      <sz val="16"/>
      <color theme="0"/>
      <name val="Times New Roman"/>
      <family val="1"/>
    </font>
    <font>
      <b/>
      <i/>
      <sz val="16"/>
      <color theme="0"/>
      <name val="Times New Roman"/>
      <family val="1"/>
    </font>
    <font>
      <sz val="11"/>
      <color theme="0"/>
      <name val="Times New Roman"/>
      <family val="1"/>
    </font>
    <font>
      <b/>
      <sz val="12"/>
      <color theme="0"/>
      <name val="Times New Roman"/>
      <family val="1"/>
    </font>
    <font>
      <sz val="12"/>
      <color theme="0"/>
      <name val="Times New Roman"/>
      <family val="1"/>
    </font>
    <font>
      <sz val="13"/>
      <color theme="0"/>
      <name val="Times New Roman"/>
      <family val="1"/>
    </font>
    <font>
      <b/>
      <sz val="13"/>
      <color theme="0"/>
      <name val="Times New Roman"/>
      <family val="1"/>
    </font>
    <font>
      <sz val="12"/>
      <color theme="0"/>
      <name val="Calibri"/>
      <family val="2"/>
    </font>
    <font>
      <vertAlign val="superscript"/>
      <sz val="12"/>
      <color theme="0"/>
      <name val="Times New Roman"/>
      <family val="1"/>
    </font>
    <font>
      <b/>
      <i/>
      <sz val="12"/>
      <color theme="0"/>
      <name val="Times New Roman"/>
      <family val="1"/>
    </font>
    <font>
      <b/>
      <sz val="11"/>
      <color theme="0"/>
      <name val="Times New Roman"/>
      <family val="1"/>
    </font>
  </fonts>
  <fills count="7">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theme="8" tint="0.39997558519241921"/>
        <bgColor indexed="64"/>
      </patternFill>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s>
  <cellStyleXfs count="38">
    <xf numFmtId="0" fontId="0" fillId="0" borderId="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164" fontId="13" fillId="0" borderId="0" applyFont="0" applyFill="0" applyBorder="0" applyAlignment="0" applyProtection="0"/>
    <xf numFmtId="164"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5" fillId="0" borderId="0"/>
    <xf numFmtId="0" fontId="16" fillId="0" borderId="0"/>
    <xf numFmtId="0" fontId="15"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cellStyleXfs>
  <cellXfs count="300">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Border="1" applyAlignment="1">
      <alignment vertical="center"/>
    </xf>
    <xf numFmtId="0" fontId="5" fillId="0" borderId="6" xfId="0" applyFont="1" applyBorder="1" applyAlignment="1">
      <alignment horizontal="center" vertical="center" wrapText="1"/>
    </xf>
    <xf numFmtId="166" fontId="5" fillId="0" borderId="6" xfId="0" applyNumberFormat="1" applyFont="1" applyBorder="1" applyAlignment="1">
      <alignment horizontal="center" vertical="center" wrapText="1"/>
    </xf>
    <xf numFmtId="0" fontId="10" fillId="0" borderId="6" xfId="0" applyFont="1" applyBorder="1" applyAlignment="1">
      <alignment horizontal="left" vertical="center" wrapText="1"/>
    </xf>
    <xf numFmtId="0" fontId="10" fillId="0" borderId="6" xfId="0" applyFont="1" applyBorder="1" applyAlignment="1">
      <alignment horizontal="center" vertical="center" wrapText="1"/>
    </xf>
    <xf numFmtId="166" fontId="10" fillId="0" borderId="6" xfId="0" applyNumberFormat="1" applyFont="1" applyBorder="1" applyAlignment="1">
      <alignment horizontal="center" vertical="center" wrapText="1"/>
    </xf>
    <xf numFmtId="3" fontId="5" fillId="0" borderId="6" xfId="0" applyNumberFormat="1" applyFont="1" applyBorder="1" applyAlignment="1">
      <alignment horizontal="center" vertical="center" wrapText="1"/>
    </xf>
    <xf numFmtId="3" fontId="10" fillId="0" borderId="6" xfId="0" applyNumberFormat="1"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166" fontId="7" fillId="0" borderId="6" xfId="0" applyNumberFormat="1" applyFont="1" applyBorder="1" applyAlignment="1">
      <alignment horizontal="center" vertical="center" wrapText="1"/>
    </xf>
    <xf numFmtId="0" fontId="4" fillId="2" borderId="0" xfId="0" applyFont="1" applyFill="1" applyAlignment="1">
      <alignment vertical="center" wrapText="1"/>
    </xf>
    <xf numFmtId="0" fontId="6" fillId="0" borderId="0" xfId="0" applyFont="1" applyFill="1"/>
    <xf numFmtId="0" fontId="6" fillId="0" borderId="0" xfId="0" applyFont="1" applyFill="1" applyAlignment="1">
      <alignment vertical="center"/>
    </xf>
    <xf numFmtId="0" fontId="21" fillId="2" borderId="0" xfId="0" applyFont="1" applyFill="1" applyBorder="1" applyAlignment="1">
      <alignment vertical="center"/>
    </xf>
    <xf numFmtId="0" fontId="2" fillId="2" borderId="0" xfId="0" applyFont="1" applyFill="1" applyBorder="1" applyAlignment="1">
      <alignment vertical="center"/>
    </xf>
    <xf numFmtId="0" fontId="1" fillId="3" borderId="0" xfId="0" applyFont="1" applyFill="1" applyBorder="1" applyAlignment="1">
      <alignment vertical="center"/>
    </xf>
    <xf numFmtId="0" fontId="1" fillId="3" borderId="0" xfId="0" applyFont="1" applyFill="1" applyAlignment="1">
      <alignment vertical="center" wrapText="1"/>
    </xf>
    <xf numFmtId="0" fontId="1" fillId="4" borderId="0" xfId="0" applyFont="1" applyFill="1" applyBorder="1" applyAlignment="1">
      <alignment vertical="center"/>
    </xf>
    <xf numFmtId="0" fontId="1" fillId="0" borderId="0" xfId="0" applyFont="1" applyFill="1" applyAlignment="1">
      <alignment horizontal="center" vertical="center" wrapText="1"/>
    </xf>
    <xf numFmtId="0" fontId="1" fillId="4" borderId="0" xfId="0" applyFont="1" applyFill="1" applyBorder="1" applyAlignment="1">
      <alignment vertical="center" wrapText="1"/>
    </xf>
    <xf numFmtId="0" fontId="8" fillId="3" borderId="0" xfId="0" applyFont="1" applyFill="1"/>
    <xf numFmtId="0" fontId="6" fillId="3" borderId="0" xfId="0" applyFont="1" applyFill="1"/>
    <xf numFmtId="0" fontId="6" fillId="3" borderId="0" xfId="0" applyFont="1" applyFill="1" applyAlignment="1">
      <alignment vertical="center"/>
    </xf>
    <xf numFmtId="0" fontId="25" fillId="5" borderId="0" xfId="0" applyFont="1" applyFill="1" applyAlignment="1">
      <alignment vertical="center"/>
    </xf>
    <xf numFmtId="0" fontId="26" fillId="5" borderId="0" xfId="0" applyFont="1" applyFill="1" applyBorder="1" applyAlignment="1">
      <alignment vertical="center"/>
    </xf>
    <xf numFmtId="0" fontId="1" fillId="6" borderId="0" xfId="0" applyFont="1" applyFill="1" applyAlignment="1">
      <alignment vertical="center" wrapText="1"/>
    </xf>
    <xf numFmtId="0" fontId="4" fillId="6" borderId="6" xfId="0" applyFont="1" applyFill="1" applyBorder="1" applyAlignment="1">
      <alignment horizontal="center" vertical="center" wrapText="1"/>
    </xf>
    <xf numFmtId="0" fontId="1" fillId="6" borderId="4" xfId="0" applyFont="1" applyFill="1" applyBorder="1" applyAlignment="1">
      <alignment vertical="center" wrapText="1"/>
    </xf>
    <xf numFmtId="3" fontId="4" fillId="6" borderId="6" xfId="0" applyNumberFormat="1" applyFont="1" applyFill="1" applyBorder="1" applyAlignment="1">
      <alignment horizontal="center" vertical="center" wrapText="1"/>
    </xf>
    <xf numFmtId="4" fontId="4" fillId="6" borderId="6" xfId="0" applyNumberFormat="1" applyFont="1" applyFill="1" applyBorder="1" applyAlignment="1">
      <alignment horizontal="center" vertical="center" wrapText="1"/>
    </xf>
    <xf numFmtId="0" fontId="4" fillId="6" borderId="6" xfId="0" applyFont="1" applyFill="1" applyBorder="1" applyAlignment="1">
      <alignment vertical="center" wrapText="1"/>
    </xf>
    <xf numFmtId="3" fontId="6" fillId="6" borderId="6" xfId="0" applyNumberFormat="1" applyFont="1" applyFill="1" applyBorder="1" applyAlignment="1">
      <alignment horizontal="center" vertical="center" wrapText="1"/>
    </xf>
    <xf numFmtId="0" fontId="4" fillId="6" borderId="6" xfId="0" applyFont="1" applyFill="1" applyBorder="1" applyAlignment="1">
      <alignment horizontal="left" vertical="center" wrapText="1"/>
    </xf>
    <xf numFmtId="0" fontId="1" fillId="6" borderId="4" xfId="0" applyFont="1" applyFill="1" applyBorder="1" applyAlignment="1">
      <alignment horizontal="center" vertical="center" wrapText="1"/>
    </xf>
    <xf numFmtId="0" fontId="1" fillId="6" borderId="0" xfId="0" applyFont="1" applyFill="1" applyAlignment="1">
      <alignment horizontal="center" vertical="center" wrapText="1"/>
    </xf>
    <xf numFmtId="0" fontId="6" fillId="6" borderId="6" xfId="0" applyFont="1" applyFill="1" applyBorder="1" applyAlignment="1">
      <alignment horizontal="center" vertical="center" wrapText="1"/>
    </xf>
    <xf numFmtId="0" fontId="4" fillId="6" borderId="0" xfId="0" applyFont="1" applyFill="1" applyAlignment="1">
      <alignment vertical="center" wrapText="1"/>
    </xf>
    <xf numFmtId="0" fontId="8" fillId="6" borderId="6" xfId="0" applyFont="1" applyFill="1" applyBorder="1" applyAlignment="1">
      <alignment horizontal="center" vertical="center" wrapText="1"/>
    </xf>
    <xf numFmtId="0" fontId="6" fillId="6" borderId="6" xfId="34" applyFont="1" applyFill="1" applyBorder="1" applyAlignment="1">
      <alignment horizontal="left" vertical="center" wrapText="1"/>
    </xf>
    <xf numFmtId="0" fontId="8" fillId="6" borderId="6" xfId="0" applyFont="1" applyFill="1" applyBorder="1" applyAlignment="1">
      <alignment horizontal="left" vertical="center"/>
    </xf>
    <xf numFmtId="0" fontId="8" fillId="6" borderId="6" xfId="0" applyFont="1" applyFill="1" applyBorder="1" applyAlignment="1">
      <alignment horizontal="center" vertical="center"/>
    </xf>
    <xf numFmtId="3" fontId="6" fillId="6" borderId="6" xfId="1" applyNumberFormat="1" applyFont="1" applyFill="1" applyBorder="1" applyAlignment="1">
      <alignment horizontal="center" vertical="center"/>
    </xf>
    <xf numFmtId="1" fontId="8" fillId="6" borderId="6" xfId="0" applyNumberFormat="1" applyFont="1" applyFill="1" applyBorder="1" applyAlignment="1">
      <alignment horizontal="center" vertical="center"/>
    </xf>
    <xf numFmtId="3" fontId="8" fillId="6" borderId="6" xfId="0" applyNumberFormat="1" applyFont="1" applyFill="1" applyBorder="1" applyAlignment="1">
      <alignment horizontal="center" vertical="center"/>
    </xf>
    <xf numFmtId="3" fontId="6" fillId="6" borderId="6" xfId="0" applyNumberFormat="1" applyFont="1" applyFill="1" applyBorder="1" applyAlignment="1">
      <alignment horizontal="center" vertical="center"/>
    </xf>
    <xf numFmtId="0" fontId="6" fillId="6" borderId="6" xfId="0" applyFont="1" applyFill="1" applyBorder="1" applyAlignment="1">
      <alignment horizontal="left" vertical="center" wrapText="1"/>
    </xf>
    <xf numFmtId="0" fontId="6" fillId="6" borderId="6" xfId="28" applyFont="1" applyFill="1" applyBorder="1" applyAlignment="1">
      <alignment horizontal="center" vertical="center" wrapText="1"/>
    </xf>
    <xf numFmtId="9" fontId="8" fillId="6" borderId="6" xfId="0" applyNumberFormat="1" applyFont="1" applyFill="1" applyBorder="1" applyAlignment="1">
      <alignment horizontal="center" vertical="center"/>
    </xf>
    <xf numFmtId="3" fontId="8" fillId="6" borderId="6" xfId="0" applyNumberFormat="1" applyFont="1" applyFill="1" applyBorder="1" applyAlignment="1">
      <alignment horizontal="center" vertical="center" wrapText="1"/>
    </xf>
    <xf numFmtId="3" fontId="21" fillId="6" borderId="6" xfId="0" applyNumberFormat="1" applyFont="1" applyFill="1" applyBorder="1" applyAlignment="1">
      <alignment horizontal="center" vertical="center"/>
    </xf>
    <xf numFmtId="0" fontId="8" fillId="6" borderId="4" xfId="0" applyFont="1" applyFill="1" applyBorder="1" applyAlignment="1">
      <alignment horizontal="left" vertical="center"/>
    </xf>
    <xf numFmtId="0" fontId="8" fillId="6" borderId="0" xfId="0" applyFont="1" applyFill="1"/>
    <xf numFmtId="0" fontId="6" fillId="6" borderId="6" xfId="0" applyFont="1" applyFill="1" applyBorder="1" applyAlignment="1">
      <alignment horizontal="left" vertical="center"/>
    </xf>
    <xf numFmtId="9" fontId="6" fillId="6" borderId="6" xfId="0" applyNumberFormat="1" applyFont="1" applyFill="1" applyBorder="1" applyAlignment="1">
      <alignment horizontal="center" vertical="center"/>
    </xf>
    <xf numFmtId="0" fontId="6" fillId="6" borderId="4" xfId="0" applyFont="1" applyFill="1" applyBorder="1"/>
    <xf numFmtId="0" fontId="6" fillId="6" borderId="0" xfId="0" applyFont="1" applyFill="1"/>
    <xf numFmtId="0" fontId="6" fillId="6" borderId="6" xfId="0" applyFont="1" applyFill="1" applyBorder="1" applyAlignment="1">
      <alignment horizontal="center" vertical="center"/>
    </xf>
    <xf numFmtId="166" fontId="6" fillId="6" borderId="6" xfId="0" applyNumberFormat="1" applyFont="1" applyFill="1" applyBorder="1" applyAlignment="1">
      <alignment horizontal="center" vertical="center" wrapText="1"/>
    </xf>
    <xf numFmtId="3" fontId="6" fillId="6" borderId="6" xfId="28" applyNumberFormat="1" applyFont="1" applyFill="1" applyBorder="1" applyAlignment="1">
      <alignment horizontal="center" vertical="center" wrapText="1"/>
    </xf>
    <xf numFmtId="0" fontId="22" fillId="6" borderId="6" xfId="0" applyFont="1" applyFill="1" applyBorder="1" applyAlignment="1">
      <alignment horizontal="center" vertical="center"/>
    </xf>
    <xf numFmtId="1" fontId="6" fillId="6" borderId="6" xfId="0" applyNumberFormat="1" applyFont="1" applyFill="1" applyBorder="1" applyAlignment="1">
      <alignment horizontal="center" vertical="center"/>
    </xf>
    <xf numFmtId="0" fontId="6" fillId="6" borderId="6" xfId="28" applyFont="1" applyFill="1" applyBorder="1" applyAlignment="1">
      <alignment vertical="center" wrapText="1"/>
    </xf>
    <xf numFmtId="3" fontId="4" fillId="6" borderId="6" xfId="0" applyNumberFormat="1" applyFont="1" applyFill="1" applyBorder="1" applyAlignment="1">
      <alignment horizontal="center" vertical="center"/>
    </xf>
    <xf numFmtId="49" fontId="8" fillId="6" borderId="6" xfId="0" applyNumberFormat="1" applyFont="1" applyFill="1" applyBorder="1" applyAlignment="1">
      <alignment horizontal="left" vertical="center" wrapText="1"/>
    </xf>
    <xf numFmtId="9" fontId="6" fillId="6" borderId="6" xfId="0" applyNumberFormat="1" applyFont="1" applyFill="1" applyBorder="1" applyAlignment="1">
      <alignment horizontal="center" vertical="center" wrapText="1"/>
    </xf>
    <xf numFmtId="0" fontId="6" fillId="6" borderId="6" xfId="0" applyFont="1" applyFill="1" applyBorder="1" applyAlignment="1">
      <alignment vertical="center" wrapText="1"/>
    </xf>
    <xf numFmtId="4" fontId="6" fillId="6" borderId="6" xfId="0" applyNumberFormat="1" applyFont="1" applyFill="1" applyBorder="1" applyAlignment="1">
      <alignment horizontal="center" vertical="center"/>
    </xf>
    <xf numFmtId="0" fontId="4" fillId="6" borderId="6" xfId="0" applyFont="1" applyFill="1" applyBorder="1" applyAlignment="1">
      <alignment horizontal="center" vertical="center"/>
    </xf>
    <xf numFmtId="0" fontId="4" fillId="6" borderId="6" xfId="0" applyNumberFormat="1" applyFont="1" applyFill="1" applyBorder="1" applyAlignment="1" applyProtection="1">
      <alignment vertical="center" wrapText="1"/>
    </xf>
    <xf numFmtId="0" fontId="4" fillId="6" borderId="6" xfId="0" applyFont="1" applyFill="1" applyBorder="1" applyAlignment="1">
      <alignment horizontal="left" vertical="center"/>
    </xf>
    <xf numFmtId="0" fontId="4" fillId="6" borderId="6" xfId="0" applyNumberFormat="1" applyFont="1" applyFill="1" applyBorder="1" applyAlignment="1" applyProtection="1">
      <alignment horizontal="center" vertical="center"/>
    </xf>
    <xf numFmtId="4" fontId="4" fillId="6" borderId="6" xfId="0" applyNumberFormat="1" applyFont="1" applyFill="1" applyBorder="1" applyAlignment="1">
      <alignment horizontal="center" vertical="center"/>
    </xf>
    <xf numFmtId="1" fontId="4" fillId="6" borderId="6" xfId="0" applyNumberFormat="1" applyFont="1" applyFill="1" applyBorder="1" applyAlignment="1">
      <alignment horizontal="center" vertical="center"/>
    </xf>
    <xf numFmtId="0" fontId="21" fillId="6" borderId="4" xfId="0" applyFont="1" applyFill="1" applyBorder="1" applyAlignment="1">
      <alignment vertical="center"/>
    </xf>
    <xf numFmtId="0" fontId="21" fillId="6" borderId="0" xfId="0" applyFont="1" applyFill="1" applyBorder="1" applyAlignment="1">
      <alignment vertical="center"/>
    </xf>
    <xf numFmtId="0" fontId="6" fillId="6" borderId="6" xfId="0" applyFont="1" applyFill="1" applyBorder="1" applyAlignment="1">
      <alignment vertical="center"/>
    </xf>
    <xf numFmtId="9" fontId="6" fillId="6" borderId="6" xfId="2" applyFont="1" applyFill="1" applyBorder="1" applyAlignment="1">
      <alignment horizontal="center" vertical="center" wrapText="1"/>
    </xf>
    <xf numFmtId="0" fontId="1" fillId="6" borderId="0" xfId="0" applyFont="1" applyFill="1" applyBorder="1" applyAlignment="1">
      <alignment vertical="center"/>
    </xf>
    <xf numFmtId="0" fontId="6" fillId="6" borderId="6" xfId="28" applyFont="1" applyFill="1" applyBorder="1" applyAlignment="1">
      <alignment horizontal="left" vertical="center" wrapText="1"/>
    </xf>
    <xf numFmtId="1" fontId="6" fillId="6" borderId="6" xfId="0" applyNumberFormat="1" applyFont="1" applyFill="1" applyBorder="1" applyAlignment="1">
      <alignment horizontal="center" vertical="center" wrapText="1"/>
    </xf>
    <xf numFmtId="0" fontId="24" fillId="6" borderId="6" xfId="0" applyFont="1" applyFill="1" applyBorder="1" applyAlignment="1">
      <alignment horizontal="center" vertical="center"/>
    </xf>
    <xf numFmtId="166" fontId="6" fillId="6" borderId="6" xfId="0" applyNumberFormat="1" applyFont="1" applyFill="1" applyBorder="1" applyAlignment="1">
      <alignment horizontal="center" vertical="center"/>
    </xf>
    <xf numFmtId="0" fontId="24" fillId="6" borderId="6" xfId="0" applyFont="1" applyFill="1" applyBorder="1" applyAlignment="1">
      <alignment horizontal="left" vertical="center"/>
    </xf>
    <xf numFmtId="3" fontId="25" fillId="6" borderId="0" xfId="0" applyNumberFormat="1" applyFont="1" applyFill="1" applyBorder="1" applyAlignment="1">
      <alignment horizontal="center" vertical="center" wrapText="1"/>
    </xf>
    <xf numFmtId="4" fontId="25" fillId="6" borderId="0" xfId="0" applyNumberFormat="1" applyFont="1" applyFill="1" applyAlignment="1">
      <alignment vertical="center"/>
    </xf>
    <xf numFmtId="0" fontId="25" fillId="6" borderId="0" xfId="0" applyFont="1" applyFill="1" applyAlignment="1">
      <alignment vertical="center"/>
    </xf>
    <xf numFmtId="3" fontId="5" fillId="6" borderId="0"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66" fontId="4" fillId="6" borderId="6" xfId="0" applyNumberFormat="1" applyFont="1" applyFill="1" applyBorder="1" applyAlignment="1">
      <alignment horizontal="center" vertical="center" wrapText="1"/>
    </xf>
    <xf numFmtId="165" fontId="4" fillId="6" borderId="6" xfId="0" applyNumberFormat="1" applyFont="1" applyFill="1" applyBorder="1" applyAlignment="1">
      <alignment horizontal="center" vertical="center" wrapText="1"/>
    </xf>
    <xf numFmtId="3" fontId="4" fillId="6" borderId="6" xfId="28" applyNumberFormat="1" applyFont="1" applyFill="1" applyBorder="1" applyAlignment="1">
      <alignment horizontal="center" vertical="center" wrapText="1"/>
    </xf>
    <xf numFmtId="0" fontId="4" fillId="6" borderId="6" xfId="0" applyFont="1" applyFill="1" applyBorder="1" applyAlignment="1">
      <alignment vertical="center"/>
    </xf>
    <xf numFmtId="9" fontId="4" fillId="6" borderId="6" xfId="2" applyFont="1" applyFill="1" applyBorder="1" applyAlignment="1">
      <alignment horizontal="center" vertical="center" wrapText="1"/>
    </xf>
    <xf numFmtId="0" fontId="2" fillId="6" borderId="0" xfId="0" applyFont="1" applyFill="1" applyBorder="1" applyAlignment="1">
      <alignment vertical="center"/>
    </xf>
    <xf numFmtId="4" fontId="6" fillId="6" borderId="0" xfId="0" applyNumberFormat="1" applyFont="1" applyFill="1" applyAlignment="1">
      <alignment vertical="center"/>
    </xf>
    <xf numFmtId="0" fontId="6" fillId="6" borderId="0" xfId="0" applyFont="1" applyFill="1" applyAlignment="1">
      <alignment vertical="center"/>
    </xf>
    <xf numFmtId="3" fontId="24" fillId="6" borderId="6" xfId="0" applyNumberFormat="1" applyFont="1" applyFill="1" applyBorder="1" applyAlignment="1">
      <alignment horizontal="center" vertical="center"/>
    </xf>
    <xf numFmtId="0" fontId="1" fillId="6" borderId="6" xfId="0" applyFont="1" applyFill="1" applyBorder="1" applyAlignment="1">
      <alignment horizontal="center" vertical="center" wrapText="1"/>
    </xf>
    <xf numFmtId="3" fontId="1" fillId="6" borderId="0" xfId="0" applyNumberFormat="1" applyFont="1" applyFill="1" applyBorder="1" applyAlignment="1">
      <alignment vertical="center"/>
    </xf>
    <xf numFmtId="0" fontId="26" fillId="6" borderId="0" xfId="0" applyFont="1" applyFill="1" applyBorder="1" applyAlignment="1">
      <alignment vertical="center"/>
    </xf>
    <xf numFmtId="4" fontId="25" fillId="6" borderId="7" xfId="0" applyNumberFormat="1" applyFont="1" applyFill="1" applyBorder="1" applyAlignment="1">
      <alignment vertical="center" wrapText="1"/>
    </xf>
    <xf numFmtId="4" fontId="25" fillId="6" borderId="8" xfId="0" applyNumberFormat="1" applyFont="1" applyFill="1" applyBorder="1" applyAlignment="1">
      <alignment vertical="center" wrapText="1"/>
    </xf>
    <xf numFmtId="1" fontId="4" fillId="6" borderId="6" xfId="0" applyNumberFormat="1" applyFont="1" applyFill="1" applyBorder="1" applyAlignment="1">
      <alignment horizontal="center" vertical="center" wrapText="1"/>
    </xf>
    <xf numFmtId="3" fontId="1" fillId="6" borderId="0" xfId="0" applyNumberFormat="1" applyFont="1" applyFill="1" applyAlignment="1">
      <alignment horizontal="center" vertical="center" wrapText="1"/>
    </xf>
    <xf numFmtId="0" fontId="2" fillId="6" borderId="0" xfId="0" applyFont="1" applyFill="1" applyAlignment="1">
      <alignment horizontal="center" vertical="center" wrapText="1"/>
    </xf>
    <xf numFmtId="4" fontId="6" fillId="6" borderId="6" xfId="0" applyNumberFormat="1" applyFont="1" applyFill="1" applyBorder="1" applyAlignment="1">
      <alignment horizontal="center" vertical="center" wrapText="1"/>
    </xf>
    <xf numFmtId="4" fontId="6" fillId="6" borderId="6" xfId="28" applyNumberFormat="1" applyFont="1" applyFill="1" applyBorder="1" applyAlignment="1">
      <alignment horizontal="center" vertical="center" wrapText="1"/>
    </xf>
    <xf numFmtId="166" fontId="1" fillId="6" borderId="0" xfId="0" applyNumberFormat="1" applyFont="1" applyFill="1" applyAlignment="1">
      <alignment horizontal="center" vertical="center" wrapText="1"/>
    </xf>
    <xf numFmtId="165" fontId="1" fillId="6" borderId="0" xfId="0" applyNumberFormat="1" applyFont="1" applyFill="1" applyAlignment="1">
      <alignment horizontal="center" vertical="center" wrapText="1"/>
    </xf>
    <xf numFmtId="0" fontId="1" fillId="0" borderId="0" xfId="0" applyFont="1" applyFill="1" applyAlignment="1">
      <alignment horizontal="center" vertical="center" wrapText="1"/>
    </xf>
    <xf numFmtId="166" fontId="6" fillId="6" borderId="6" xfId="0" applyNumberFormat="1" applyFont="1" applyFill="1" applyBorder="1" applyAlignment="1">
      <alignment horizontal="center" vertical="center" wrapText="1"/>
    </xf>
    <xf numFmtId="166" fontId="4" fillId="6" borderId="6" xfId="0" applyNumberFormat="1" applyFont="1" applyFill="1" applyBorder="1" applyAlignment="1">
      <alignment horizontal="center" vertical="center" wrapText="1"/>
    </xf>
    <xf numFmtId="3" fontId="4" fillId="6" borderId="6" xfId="0" applyNumberFormat="1" applyFont="1" applyFill="1" applyBorder="1" applyAlignment="1">
      <alignment horizontal="center" vertical="center" wrapText="1"/>
    </xf>
    <xf numFmtId="0" fontId="6" fillId="6" borderId="6" xfId="0" applyFont="1" applyFill="1" applyBorder="1" applyAlignment="1">
      <alignment horizontal="center" vertical="center" wrapText="1"/>
    </xf>
    <xf numFmtId="3" fontId="6" fillId="6" borderId="6" xfId="0" applyNumberFormat="1"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6" xfId="0" applyFont="1" applyFill="1" applyBorder="1" applyAlignment="1">
      <alignment vertical="center" wrapText="1"/>
    </xf>
    <xf numFmtId="3" fontId="4" fillId="6" borderId="6" xfId="0" applyNumberFormat="1" applyFont="1" applyFill="1" applyBorder="1" applyAlignment="1">
      <alignment horizontal="center" vertical="center"/>
    </xf>
    <xf numFmtId="1" fontId="6" fillId="6" borderId="6" xfId="0" applyNumberFormat="1" applyFont="1" applyFill="1" applyBorder="1" applyAlignment="1">
      <alignment horizontal="center" vertical="center"/>
    </xf>
    <xf numFmtId="3" fontId="6" fillId="6" borderId="6" xfId="0" applyNumberFormat="1" applyFont="1" applyFill="1" applyBorder="1" applyAlignment="1">
      <alignment horizontal="center" vertical="center"/>
    </xf>
    <xf numFmtId="0" fontId="6" fillId="6" borderId="6" xfId="0" applyFont="1" applyFill="1" applyBorder="1" applyAlignment="1">
      <alignment horizontal="left" vertical="center" wrapText="1"/>
    </xf>
    <xf numFmtId="0" fontId="4" fillId="6" borderId="6" xfId="0" applyFont="1" applyFill="1" applyBorder="1" applyAlignment="1">
      <alignment horizontal="center" vertical="center" wrapText="1"/>
    </xf>
    <xf numFmtId="4" fontId="6" fillId="6" borderId="6" xfId="0" applyNumberFormat="1" applyFont="1" applyFill="1" applyBorder="1" applyAlignment="1">
      <alignment horizontal="center" vertical="center" wrapText="1"/>
    </xf>
    <xf numFmtId="166" fontId="6" fillId="6" borderId="6" xfId="0" applyNumberFormat="1" applyFont="1" applyFill="1" applyBorder="1" applyAlignment="1">
      <alignment horizontal="center" vertical="center"/>
    </xf>
    <xf numFmtId="0" fontId="22" fillId="6" borderId="6" xfId="0" applyFont="1" applyFill="1" applyBorder="1" applyAlignment="1">
      <alignment horizontal="center" vertical="center"/>
    </xf>
    <xf numFmtId="0" fontId="1" fillId="6" borderId="0" xfId="0" applyFont="1" applyFill="1" applyAlignment="1">
      <alignment horizontal="center" vertical="center" wrapText="1"/>
    </xf>
    <xf numFmtId="0" fontId="1" fillId="6" borderId="4" xfId="0" applyFont="1" applyFill="1" applyBorder="1" applyAlignment="1">
      <alignment horizontal="center" vertical="center" wrapText="1"/>
    </xf>
    <xf numFmtId="0" fontId="4" fillId="6" borderId="6" xfId="0" applyFont="1" applyFill="1" applyBorder="1" applyAlignment="1">
      <alignment horizontal="center" vertical="center"/>
    </xf>
    <xf numFmtId="3" fontId="2" fillId="6"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1" fillId="6" borderId="0" xfId="0" applyFont="1" applyFill="1" applyAlignment="1">
      <alignment horizontal="center" vertical="center" wrapText="1"/>
    </xf>
    <xf numFmtId="0" fontId="1" fillId="6" borderId="4" xfId="0" applyFont="1" applyFill="1" applyBorder="1" applyAlignment="1">
      <alignment horizontal="center" vertical="center" wrapText="1"/>
    </xf>
    <xf numFmtId="3" fontId="6" fillId="6" borderId="6" xfId="0" applyNumberFormat="1" applyFont="1" applyFill="1" applyBorder="1" applyAlignment="1">
      <alignment horizontal="center" vertical="center"/>
    </xf>
    <xf numFmtId="0" fontId="6" fillId="6" borderId="6" xfId="0" applyFont="1" applyFill="1" applyBorder="1" applyAlignment="1">
      <alignment horizontal="center" vertical="center"/>
    </xf>
    <xf numFmtId="3" fontId="4" fillId="6" borderId="6" xfId="0" applyNumberFormat="1" applyFont="1" applyFill="1" applyBorder="1" applyAlignment="1">
      <alignment horizontal="center" vertical="center"/>
    </xf>
    <xf numFmtId="0" fontId="4" fillId="6" borderId="6" xfId="0" applyFont="1" applyFill="1" applyBorder="1" applyAlignment="1">
      <alignment horizontal="center" vertical="center"/>
    </xf>
    <xf numFmtId="0" fontId="22" fillId="6" borderId="6" xfId="0" applyFont="1" applyFill="1" applyBorder="1" applyAlignment="1">
      <alignment horizontal="center" vertical="center"/>
    </xf>
    <xf numFmtId="0" fontId="4" fillId="6" borderId="6" xfId="0" applyFont="1" applyFill="1" applyBorder="1" applyAlignment="1">
      <alignment horizontal="center" vertical="center" wrapText="1"/>
    </xf>
    <xf numFmtId="3" fontId="4" fillId="6" borderId="6" xfId="0" applyNumberFormat="1" applyFont="1" applyFill="1" applyBorder="1" applyAlignment="1">
      <alignment horizontal="center" vertical="center" wrapText="1"/>
    </xf>
    <xf numFmtId="1" fontId="6" fillId="6" borderId="6" xfId="0" applyNumberFormat="1" applyFont="1" applyFill="1" applyBorder="1" applyAlignment="1">
      <alignment horizontal="center" vertical="center"/>
    </xf>
    <xf numFmtId="0" fontId="6" fillId="6" borderId="6" xfId="0" applyFont="1" applyFill="1" applyBorder="1" applyAlignment="1">
      <alignment vertical="center" wrapText="1"/>
    </xf>
    <xf numFmtId="0" fontId="6" fillId="6" borderId="6" xfId="0" applyFont="1" applyFill="1" applyBorder="1" applyAlignment="1">
      <alignment horizontal="left" vertical="center" wrapText="1"/>
    </xf>
    <xf numFmtId="0" fontId="6" fillId="6" borderId="6" xfId="0" applyFont="1" applyFill="1" applyBorder="1" applyAlignment="1">
      <alignment horizontal="center" vertical="center" wrapText="1"/>
    </xf>
    <xf numFmtId="166" fontId="6" fillId="6" borderId="6" xfId="0" applyNumberFormat="1" applyFont="1" applyFill="1" applyBorder="1" applyAlignment="1">
      <alignment horizontal="center" vertical="center" wrapText="1"/>
    </xf>
    <xf numFmtId="166" fontId="6" fillId="6" borderId="6" xfId="0" applyNumberFormat="1" applyFont="1" applyFill="1" applyBorder="1" applyAlignment="1">
      <alignment horizontal="center" vertical="center"/>
    </xf>
    <xf numFmtId="3" fontId="6" fillId="6" borderId="6" xfId="0" applyNumberFormat="1" applyFont="1" applyFill="1" applyBorder="1" applyAlignment="1">
      <alignment horizontal="center" vertical="center" wrapText="1"/>
    </xf>
    <xf numFmtId="4" fontId="6" fillId="6" borderId="6" xfId="0" applyNumberFormat="1" applyFont="1" applyFill="1" applyBorder="1" applyAlignment="1">
      <alignment horizontal="center" vertical="center" wrapText="1"/>
    </xf>
    <xf numFmtId="166" fontId="4" fillId="6" borderId="6" xfId="0" applyNumberFormat="1" applyFont="1" applyFill="1" applyBorder="1" applyAlignment="1">
      <alignment horizontal="center" vertical="center" wrapText="1"/>
    </xf>
    <xf numFmtId="0" fontId="35" fillId="6" borderId="0" xfId="0" applyFont="1" applyFill="1" applyBorder="1" applyAlignment="1">
      <alignment vertical="center"/>
    </xf>
    <xf numFmtId="0" fontId="31" fillId="6" borderId="0" xfId="0" applyFont="1" applyFill="1" applyBorder="1" applyAlignment="1">
      <alignment vertical="center"/>
    </xf>
    <xf numFmtId="0" fontId="39" fillId="6" borderId="0" xfId="0" applyFont="1" applyFill="1" applyBorder="1" applyAlignment="1">
      <alignment vertical="center"/>
    </xf>
    <xf numFmtId="0" fontId="31" fillId="6" borderId="0" xfId="0" applyFont="1" applyFill="1" applyBorder="1" applyAlignment="1">
      <alignment vertical="center" wrapText="1"/>
    </xf>
    <xf numFmtId="3" fontId="31" fillId="6" borderId="0" xfId="0" applyNumberFormat="1" applyFont="1" applyFill="1" applyBorder="1" applyAlignment="1">
      <alignment vertical="center"/>
    </xf>
    <xf numFmtId="0" fontId="32" fillId="6" borderId="0" xfId="0" applyFont="1" applyFill="1" applyBorder="1" applyAlignment="1">
      <alignment horizontal="center" vertical="center" wrapText="1"/>
    </xf>
    <xf numFmtId="3" fontId="32" fillId="6" borderId="0" xfId="0" applyNumberFormat="1" applyFont="1" applyFill="1" applyBorder="1" applyAlignment="1">
      <alignment horizontal="center" vertical="center" wrapText="1"/>
    </xf>
    <xf numFmtId="4" fontId="32" fillId="6" borderId="0" xfId="0" applyNumberFormat="1" applyFont="1" applyFill="1" applyBorder="1" applyAlignment="1">
      <alignment horizontal="center" vertical="center" wrapText="1"/>
    </xf>
    <xf numFmtId="0" fontId="32" fillId="6" borderId="0" xfId="0" applyFont="1" applyFill="1" applyBorder="1" applyAlignment="1">
      <alignment vertical="center" wrapText="1"/>
    </xf>
    <xf numFmtId="3" fontId="33" fillId="6" borderId="0" xfId="0" applyNumberFormat="1" applyFont="1" applyFill="1" applyBorder="1" applyAlignment="1">
      <alignment horizontal="center" vertical="center" wrapText="1"/>
    </xf>
    <xf numFmtId="0" fontId="32" fillId="6" borderId="0" xfId="0" applyFont="1" applyFill="1" applyBorder="1" applyAlignment="1">
      <alignment horizontal="left" vertical="center" wrapText="1"/>
    </xf>
    <xf numFmtId="0" fontId="31" fillId="6" borderId="0" xfId="0" applyFont="1" applyFill="1" applyBorder="1" applyAlignment="1">
      <alignment horizontal="center" vertical="center" wrapText="1"/>
    </xf>
    <xf numFmtId="0" fontId="33" fillId="6" borderId="0" xfId="0" applyFont="1" applyFill="1" applyBorder="1" applyAlignment="1">
      <alignment horizontal="center" vertical="center" wrapText="1"/>
    </xf>
    <xf numFmtId="0" fontId="34" fillId="6" borderId="0" xfId="0" applyFont="1" applyFill="1" applyBorder="1" applyAlignment="1">
      <alignment horizontal="center" vertical="center" wrapText="1"/>
    </xf>
    <xf numFmtId="0" fontId="33" fillId="6" borderId="0" xfId="34" applyFont="1" applyFill="1" applyBorder="1" applyAlignment="1">
      <alignment horizontal="left" vertical="center" wrapText="1"/>
    </xf>
    <xf numFmtId="0" fontId="34" fillId="6" borderId="0" xfId="0" applyFont="1" applyFill="1" applyBorder="1" applyAlignment="1">
      <alignment horizontal="left" vertical="center"/>
    </xf>
    <xf numFmtId="0" fontId="34" fillId="6" borderId="0" xfId="0" applyFont="1" applyFill="1" applyBorder="1" applyAlignment="1">
      <alignment horizontal="center" vertical="center"/>
    </xf>
    <xf numFmtId="1" fontId="34" fillId="6" borderId="0" xfId="0" applyNumberFormat="1" applyFont="1" applyFill="1" applyBorder="1" applyAlignment="1">
      <alignment horizontal="center" vertical="center"/>
    </xf>
    <xf numFmtId="3" fontId="33" fillId="6" borderId="0" xfId="1" applyNumberFormat="1" applyFont="1" applyFill="1" applyBorder="1" applyAlignment="1">
      <alignment horizontal="center" vertical="center"/>
    </xf>
    <xf numFmtId="3" fontId="34" fillId="6" borderId="0" xfId="0" applyNumberFormat="1" applyFont="1" applyFill="1" applyBorder="1" applyAlignment="1">
      <alignment horizontal="center" vertical="center"/>
    </xf>
    <xf numFmtId="3" fontId="33" fillId="6" borderId="0" xfId="0" applyNumberFormat="1" applyFont="1" applyFill="1" applyBorder="1" applyAlignment="1">
      <alignment horizontal="center" vertical="center"/>
    </xf>
    <xf numFmtId="0" fontId="33" fillId="6" borderId="0" xfId="0" applyFont="1" applyFill="1" applyBorder="1" applyAlignment="1">
      <alignment horizontal="left" vertical="center" wrapText="1"/>
    </xf>
    <xf numFmtId="0" fontId="33" fillId="6" borderId="0" xfId="28" applyFont="1" applyFill="1" applyBorder="1" applyAlignment="1">
      <alignment horizontal="center" vertical="center" wrapText="1"/>
    </xf>
    <xf numFmtId="9" fontId="34" fillId="6" borderId="0" xfId="0" applyNumberFormat="1" applyFont="1" applyFill="1" applyBorder="1" applyAlignment="1">
      <alignment horizontal="center" vertical="center"/>
    </xf>
    <xf numFmtId="3" fontId="34" fillId="6" borderId="0" xfId="0" applyNumberFormat="1" applyFont="1" applyFill="1" applyBorder="1" applyAlignment="1">
      <alignment horizontal="center" vertical="center" wrapText="1"/>
    </xf>
    <xf numFmtId="3" fontId="35" fillId="6" borderId="0" xfId="0" applyNumberFormat="1" applyFont="1" applyFill="1" applyBorder="1" applyAlignment="1">
      <alignment horizontal="center" vertical="center"/>
    </xf>
    <xf numFmtId="0" fontId="34" fillId="6" borderId="0" xfId="0" applyFont="1" applyFill="1" applyBorder="1"/>
    <xf numFmtId="0" fontId="33" fillId="6" borderId="0" xfId="0" applyFont="1" applyFill="1" applyBorder="1" applyAlignment="1">
      <alignment horizontal="left" vertical="center"/>
    </xf>
    <xf numFmtId="9" fontId="33" fillId="6" borderId="0" xfId="0" applyNumberFormat="1" applyFont="1" applyFill="1" applyBorder="1" applyAlignment="1">
      <alignment horizontal="center" vertical="center"/>
    </xf>
    <xf numFmtId="0" fontId="33" fillId="6" borderId="0" xfId="0" applyFont="1" applyFill="1" applyBorder="1"/>
    <xf numFmtId="0" fontId="33" fillId="6" borderId="0" xfId="28" applyFont="1" applyFill="1" applyBorder="1" applyAlignment="1">
      <alignment vertical="center" wrapText="1"/>
    </xf>
    <xf numFmtId="3" fontId="33" fillId="6" borderId="0" xfId="28" applyNumberFormat="1" applyFont="1" applyFill="1" applyBorder="1" applyAlignment="1">
      <alignment horizontal="center" vertical="center" wrapText="1"/>
    </xf>
    <xf numFmtId="0" fontId="33" fillId="6" borderId="0" xfId="0" applyFont="1" applyFill="1" applyBorder="1" applyAlignment="1">
      <alignment horizontal="center" vertical="center"/>
    </xf>
    <xf numFmtId="3" fontId="33" fillId="6" borderId="0" xfId="0" applyNumberFormat="1" applyFont="1" applyFill="1" applyBorder="1"/>
    <xf numFmtId="49" fontId="34" fillId="6" borderId="0" xfId="0" applyNumberFormat="1" applyFont="1" applyFill="1" applyBorder="1" applyAlignment="1">
      <alignment horizontal="left" vertical="center" wrapText="1"/>
    </xf>
    <xf numFmtId="49" fontId="34" fillId="6" borderId="0" xfId="0" applyNumberFormat="1" applyFont="1" applyFill="1" applyBorder="1" applyAlignment="1">
      <alignment horizontal="center" vertical="center" wrapText="1"/>
    </xf>
    <xf numFmtId="4" fontId="33" fillId="6" borderId="0" xfId="28" applyNumberFormat="1" applyFont="1" applyFill="1" applyBorder="1" applyAlignment="1">
      <alignment horizontal="center" vertical="center" wrapText="1"/>
    </xf>
    <xf numFmtId="3" fontId="31" fillId="6" borderId="0" xfId="0" applyNumberFormat="1" applyFont="1" applyFill="1" applyBorder="1" applyAlignment="1">
      <alignment vertical="center" wrapText="1"/>
    </xf>
    <xf numFmtId="0" fontId="33" fillId="6" borderId="0" xfId="0" applyFont="1" applyFill="1" applyBorder="1" applyAlignment="1">
      <alignment vertical="center" wrapText="1"/>
    </xf>
    <xf numFmtId="4" fontId="33" fillId="6" borderId="0" xfId="0" applyNumberFormat="1" applyFont="1" applyFill="1" applyBorder="1" applyAlignment="1">
      <alignment horizontal="center" vertical="center" wrapText="1"/>
    </xf>
    <xf numFmtId="166" fontId="33" fillId="6" borderId="0" xfId="0" applyNumberFormat="1" applyFont="1" applyFill="1" applyBorder="1" applyAlignment="1">
      <alignment horizontal="center" vertical="center" wrapText="1"/>
    </xf>
    <xf numFmtId="0" fontId="36" fillId="6" borderId="0" xfId="0" applyFont="1" applyFill="1" applyBorder="1" applyAlignment="1">
      <alignment horizontal="center" vertical="center"/>
    </xf>
    <xf numFmtId="1" fontId="33" fillId="6" borderId="0" xfId="0" applyNumberFormat="1" applyFont="1" applyFill="1" applyBorder="1" applyAlignment="1">
      <alignment horizontal="center" vertical="center"/>
    </xf>
    <xf numFmtId="3" fontId="32" fillId="6" borderId="0" xfId="0" applyNumberFormat="1" applyFont="1" applyFill="1" applyBorder="1" applyAlignment="1">
      <alignment horizontal="center" vertical="center"/>
    </xf>
    <xf numFmtId="0" fontId="31" fillId="6" borderId="0" xfId="0" applyFont="1" applyFill="1" applyBorder="1" applyAlignment="1">
      <alignment horizontal="center" vertical="center" wrapText="1"/>
    </xf>
    <xf numFmtId="9" fontId="33" fillId="6" borderId="0" xfId="0" applyNumberFormat="1" applyFont="1" applyFill="1" applyBorder="1" applyAlignment="1">
      <alignment horizontal="center" vertical="center" wrapText="1"/>
    </xf>
    <xf numFmtId="4" fontId="33" fillId="6" borderId="0" xfId="0" applyNumberFormat="1" applyFont="1" applyFill="1" applyBorder="1" applyAlignment="1">
      <alignment horizontal="center" vertical="center"/>
    </xf>
    <xf numFmtId="0" fontId="33" fillId="6" borderId="0" xfId="31" applyFont="1" applyFill="1" applyBorder="1" applyAlignment="1">
      <alignment horizontal="center" vertical="center"/>
    </xf>
    <xf numFmtId="166" fontId="33" fillId="6" borderId="0" xfId="28" applyNumberFormat="1" applyFont="1" applyFill="1" applyBorder="1" applyAlignment="1">
      <alignment horizontal="center" vertical="center" wrapText="1"/>
    </xf>
    <xf numFmtId="166" fontId="33" fillId="6" borderId="0" xfId="0" applyNumberFormat="1" applyFont="1" applyFill="1" applyBorder="1" applyAlignment="1">
      <alignment horizontal="center" vertical="center"/>
    </xf>
    <xf numFmtId="0" fontId="32" fillId="6" borderId="0" xfId="0" applyFont="1" applyFill="1" applyBorder="1" applyAlignment="1">
      <alignment horizontal="center" vertical="center"/>
    </xf>
    <xf numFmtId="0" fontId="32" fillId="6" borderId="0" xfId="0" applyNumberFormat="1" applyFont="1" applyFill="1" applyBorder="1" applyAlignment="1" applyProtection="1">
      <alignment vertical="center" wrapText="1"/>
    </xf>
    <xf numFmtId="0" fontId="32" fillId="6" borderId="0" xfId="0" applyFont="1" applyFill="1" applyBorder="1" applyAlignment="1">
      <alignment horizontal="left" vertical="center"/>
    </xf>
    <xf numFmtId="0" fontId="32" fillId="6" borderId="0" xfId="0" applyNumberFormat="1" applyFont="1" applyFill="1" applyBorder="1" applyAlignment="1" applyProtection="1">
      <alignment horizontal="center" vertical="center"/>
    </xf>
    <xf numFmtId="4" fontId="32" fillId="6" borderId="0" xfId="0" applyNumberFormat="1" applyFont="1" applyFill="1" applyBorder="1" applyAlignment="1">
      <alignment horizontal="center" vertical="center"/>
    </xf>
    <xf numFmtId="1" fontId="32" fillId="6" borderId="0" xfId="0" applyNumberFormat="1" applyFont="1" applyFill="1" applyBorder="1" applyAlignment="1">
      <alignment horizontal="center" vertical="center"/>
    </xf>
    <xf numFmtId="0" fontId="38" fillId="6" borderId="0" xfId="0" applyFont="1" applyFill="1" applyBorder="1" applyAlignment="1">
      <alignment horizontal="left" vertical="center"/>
    </xf>
    <xf numFmtId="0" fontId="38" fillId="6" borderId="0" xfId="0" applyFont="1" applyFill="1" applyBorder="1" applyAlignment="1">
      <alignment horizontal="center" vertical="center"/>
    </xf>
    <xf numFmtId="0" fontId="33" fillId="6" borderId="0" xfId="28" applyFont="1" applyFill="1" applyBorder="1" applyAlignment="1">
      <alignment horizontal="left" vertical="center" wrapText="1"/>
    </xf>
    <xf numFmtId="3" fontId="38" fillId="6" borderId="0" xfId="0" applyNumberFormat="1" applyFont="1" applyFill="1" applyBorder="1" applyAlignment="1">
      <alignment horizontal="center" vertical="center"/>
    </xf>
    <xf numFmtId="165" fontId="33" fillId="6" borderId="0" xfId="0" applyNumberFormat="1" applyFont="1" applyFill="1" applyBorder="1" applyAlignment="1">
      <alignment horizontal="center" vertical="center" wrapText="1"/>
    </xf>
    <xf numFmtId="4" fontId="33" fillId="6" borderId="0" xfId="0" applyNumberFormat="1" applyFont="1" applyFill="1" applyBorder="1" applyAlignment="1">
      <alignment vertical="center"/>
    </xf>
    <xf numFmtId="0" fontId="33" fillId="6" borderId="0" xfId="0" applyFont="1" applyFill="1" applyBorder="1" applyAlignment="1">
      <alignment vertical="center"/>
    </xf>
    <xf numFmtId="1" fontId="33" fillId="6" borderId="0" xfId="0" applyNumberFormat="1" applyFont="1" applyFill="1" applyBorder="1" applyAlignment="1">
      <alignment horizontal="center" vertical="center" wrapText="1"/>
    </xf>
    <xf numFmtId="9" fontId="33" fillId="6" borderId="0" xfId="2" applyFont="1" applyFill="1" applyBorder="1" applyAlignment="1">
      <alignment horizontal="center" vertical="center" wrapText="1"/>
    </xf>
    <xf numFmtId="166" fontId="32" fillId="6" borderId="0" xfId="0" applyNumberFormat="1" applyFont="1" applyFill="1" applyBorder="1" applyAlignment="1">
      <alignment horizontal="center" vertical="center" wrapText="1"/>
    </xf>
    <xf numFmtId="165" fontId="32" fillId="6" borderId="0" xfId="0" applyNumberFormat="1" applyFont="1" applyFill="1" applyBorder="1" applyAlignment="1">
      <alignment horizontal="center" vertical="center" wrapText="1"/>
    </xf>
    <xf numFmtId="3" fontId="32" fillId="6" borderId="0" xfId="28" applyNumberFormat="1" applyFont="1" applyFill="1" applyBorder="1" applyAlignment="1">
      <alignment horizontal="center" vertical="center" wrapText="1"/>
    </xf>
    <xf numFmtId="0" fontId="32" fillId="6" borderId="0" xfId="0" applyFont="1" applyFill="1" applyBorder="1" applyAlignment="1">
      <alignment vertical="center"/>
    </xf>
    <xf numFmtId="9" fontId="32" fillId="6" borderId="0" xfId="2" applyFont="1" applyFill="1" applyBorder="1" applyAlignment="1">
      <alignment horizontal="center" vertical="center" wrapText="1"/>
    </xf>
    <xf numFmtId="3" fontId="31" fillId="6" borderId="0" xfId="0" applyNumberFormat="1" applyFont="1" applyFill="1" applyBorder="1" applyAlignment="1">
      <alignment horizontal="center" vertical="center" wrapText="1"/>
    </xf>
    <xf numFmtId="0" fontId="39" fillId="6" borderId="0"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29" fillId="6" borderId="0" xfId="0" applyFont="1" applyFill="1" applyBorder="1" applyAlignment="1">
      <alignment horizontal="center" vertical="center" wrapText="1"/>
    </xf>
    <xf numFmtId="0" fontId="32" fillId="6" borderId="0" xfId="0" applyFont="1" applyFill="1" applyBorder="1" applyAlignment="1">
      <alignment horizontal="center" vertical="center" wrapText="1"/>
    </xf>
    <xf numFmtId="3" fontId="32" fillId="6" borderId="0" xfId="0" applyNumberFormat="1" applyFont="1" applyFill="1" applyBorder="1" applyAlignment="1">
      <alignment horizontal="center" vertical="center" wrapText="1"/>
    </xf>
    <xf numFmtId="3" fontId="33" fillId="6" borderId="0" xfId="0" applyNumberFormat="1" applyFont="1" applyFill="1" applyBorder="1" applyAlignment="1">
      <alignment horizontal="center" vertical="center"/>
    </xf>
    <xf numFmtId="0" fontId="33" fillId="6" borderId="0" xfId="0" applyFont="1" applyFill="1" applyBorder="1" applyAlignment="1">
      <alignment horizontal="center" vertical="center"/>
    </xf>
    <xf numFmtId="3" fontId="32" fillId="6" borderId="0" xfId="0" applyNumberFormat="1" applyFont="1" applyFill="1" applyBorder="1" applyAlignment="1">
      <alignment horizontal="center" vertical="center"/>
    </xf>
    <xf numFmtId="0" fontId="32" fillId="6" borderId="0" xfId="0" applyFont="1" applyFill="1" applyBorder="1" applyAlignment="1">
      <alignment horizontal="center" vertical="center"/>
    </xf>
    <xf numFmtId="1" fontId="33" fillId="6" borderId="0" xfId="0" applyNumberFormat="1" applyFont="1" applyFill="1" applyBorder="1" applyAlignment="1">
      <alignment horizontal="center" vertical="center"/>
    </xf>
    <xf numFmtId="0" fontId="1" fillId="0" borderId="0" xfId="0" applyFont="1" applyFill="1" applyAlignment="1">
      <alignment horizontal="center" vertical="center" wrapText="1"/>
    </xf>
    <xf numFmtId="0" fontId="33" fillId="6" borderId="0" xfId="0" applyFont="1" applyFill="1" applyBorder="1" applyAlignment="1">
      <alignment horizontal="left" vertical="center" wrapText="1"/>
    </xf>
    <xf numFmtId="0" fontId="36" fillId="6" borderId="0" xfId="0" applyFont="1" applyFill="1" applyBorder="1" applyAlignment="1">
      <alignment horizontal="center" vertical="center"/>
    </xf>
    <xf numFmtId="0" fontId="36" fillId="6" borderId="0" xfId="0" applyFont="1" applyFill="1" applyBorder="1" applyAlignment="1">
      <alignment horizontal="center" vertical="center" wrapText="1"/>
    </xf>
    <xf numFmtId="0" fontId="33" fillId="6" borderId="0" xfId="0" applyFont="1" applyFill="1" applyBorder="1" applyAlignment="1">
      <alignment horizontal="center" vertical="center" wrapText="1"/>
    </xf>
    <xf numFmtId="1" fontId="36" fillId="6" borderId="0" xfId="0" applyNumberFormat="1" applyFont="1" applyFill="1" applyBorder="1" applyAlignment="1">
      <alignment horizontal="center" vertical="center"/>
    </xf>
    <xf numFmtId="0" fontId="31" fillId="6" borderId="0" xfId="0" applyFont="1" applyFill="1" applyBorder="1" applyAlignment="1">
      <alignment horizontal="center" vertical="center" wrapText="1"/>
    </xf>
    <xf numFmtId="4" fontId="33" fillId="6" borderId="0" xfId="0" applyNumberFormat="1" applyFont="1" applyFill="1" applyBorder="1" applyAlignment="1">
      <alignment horizontal="center" vertical="center" wrapText="1"/>
    </xf>
    <xf numFmtId="166" fontId="33" fillId="6" borderId="0" xfId="0" applyNumberFormat="1" applyFont="1" applyFill="1" applyBorder="1" applyAlignment="1">
      <alignment horizontal="center" vertical="center"/>
    </xf>
    <xf numFmtId="3" fontId="33" fillId="6" borderId="0" xfId="0" applyNumberFormat="1" applyFont="1" applyFill="1" applyBorder="1" applyAlignment="1">
      <alignment horizontal="center" vertical="center" wrapText="1"/>
    </xf>
    <xf numFmtId="165" fontId="33" fillId="6" borderId="0" xfId="0" applyNumberFormat="1" applyFont="1" applyFill="1" applyBorder="1" applyAlignment="1">
      <alignment horizontal="center" vertical="center" wrapText="1"/>
    </xf>
    <xf numFmtId="1" fontId="33" fillId="6" borderId="0" xfId="0" applyNumberFormat="1" applyFont="1" applyFill="1" applyBorder="1" applyAlignment="1">
      <alignment horizontal="center" vertical="center" wrapText="1"/>
    </xf>
    <xf numFmtId="165" fontId="33" fillId="6" borderId="0" xfId="0" applyNumberFormat="1" applyFont="1" applyFill="1" applyBorder="1" applyAlignment="1">
      <alignment horizontal="center" vertical="center"/>
    </xf>
    <xf numFmtId="166" fontId="33" fillId="6" borderId="0" xfId="0" applyNumberFormat="1" applyFont="1" applyFill="1" applyBorder="1" applyAlignment="1">
      <alignment horizontal="center" vertical="center" wrapText="1"/>
    </xf>
    <xf numFmtId="0" fontId="33" fillId="6" borderId="0" xfId="0" applyFont="1" applyFill="1" applyBorder="1" applyAlignment="1">
      <alignment vertical="center" wrapText="1"/>
    </xf>
    <xf numFmtId="4" fontId="32" fillId="6" borderId="0" xfId="0" applyNumberFormat="1" applyFont="1" applyFill="1" applyBorder="1" applyAlignment="1">
      <alignment horizontal="center" vertical="center" wrapText="1"/>
    </xf>
    <xf numFmtId="3" fontId="6" fillId="6" borderId="6" xfId="0" applyNumberFormat="1" applyFont="1" applyFill="1" applyBorder="1" applyAlignment="1">
      <alignment horizontal="center" vertical="center" wrapText="1"/>
    </xf>
    <xf numFmtId="3" fontId="4" fillId="6" borderId="6" xfId="0" applyNumberFormat="1" applyFont="1" applyFill="1" applyBorder="1" applyAlignment="1">
      <alignment horizontal="center" vertical="center" wrapText="1"/>
    </xf>
    <xf numFmtId="0" fontId="25" fillId="6" borderId="6"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26" fillId="6" borderId="5" xfId="0" applyFont="1" applyFill="1" applyBorder="1" applyAlignment="1">
      <alignment horizontal="center" vertical="center" wrapText="1"/>
    </xf>
    <xf numFmtId="166" fontId="6" fillId="6" borderId="6" xfId="0" applyNumberFormat="1" applyFont="1" applyFill="1" applyBorder="1" applyAlignment="1">
      <alignment horizontal="center" vertical="center" wrapText="1"/>
    </xf>
    <xf numFmtId="166" fontId="4" fillId="6" borderId="6" xfId="0" applyNumberFormat="1" applyFont="1" applyFill="1" applyBorder="1" applyAlignment="1">
      <alignment horizontal="center" vertical="center" wrapText="1"/>
    </xf>
    <xf numFmtId="0" fontId="6" fillId="6" borderId="6"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6" xfId="0" applyFont="1" applyFill="1" applyBorder="1" applyAlignment="1">
      <alignment vertical="center" wrapText="1"/>
    </xf>
    <xf numFmtId="3" fontId="6" fillId="6" borderId="6" xfId="0" applyNumberFormat="1" applyFont="1" applyFill="1" applyBorder="1" applyAlignment="1">
      <alignment horizontal="center" vertical="center"/>
    </xf>
    <xf numFmtId="3" fontId="5" fillId="6" borderId="2" xfId="0" applyNumberFormat="1" applyFont="1" applyFill="1" applyBorder="1" applyAlignment="1">
      <alignment horizontal="center" vertical="center" wrapText="1"/>
    </xf>
    <xf numFmtId="3" fontId="5" fillId="6" borderId="3" xfId="0" applyNumberFormat="1" applyFont="1" applyFill="1" applyBorder="1" applyAlignment="1">
      <alignment horizontal="center" vertical="center" wrapText="1"/>
    </xf>
    <xf numFmtId="3" fontId="5" fillId="6" borderId="5" xfId="0" applyNumberFormat="1" applyFont="1" applyFill="1" applyBorder="1" applyAlignment="1">
      <alignment horizontal="center" vertical="center" wrapText="1"/>
    </xf>
    <xf numFmtId="3" fontId="4" fillId="6" borderId="6" xfId="0" applyNumberFormat="1" applyFont="1" applyFill="1" applyBorder="1" applyAlignment="1">
      <alignment horizontal="center" vertical="center"/>
    </xf>
    <xf numFmtId="1" fontId="6" fillId="6" borderId="6" xfId="0" applyNumberFormat="1" applyFont="1" applyFill="1" applyBorder="1" applyAlignment="1">
      <alignment horizontal="center" vertical="center"/>
    </xf>
    <xf numFmtId="4" fontId="6" fillId="6" borderId="6" xfId="0" applyNumberFormat="1" applyFont="1" applyFill="1" applyBorder="1" applyAlignment="1">
      <alignment horizontal="center" vertical="center" wrapText="1"/>
    </xf>
    <xf numFmtId="0" fontId="6" fillId="6" borderId="6" xfId="0" applyFont="1" applyFill="1" applyBorder="1" applyAlignment="1">
      <alignment horizontal="left" vertical="center" wrapText="1"/>
    </xf>
    <xf numFmtId="165" fontId="6" fillId="6" borderId="6" xfId="0" applyNumberFormat="1" applyFont="1" applyFill="1" applyBorder="1" applyAlignment="1">
      <alignment horizontal="center" vertical="center" wrapText="1"/>
    </xf>
    <xf numFmtId="166" fontId="6" fillId="6" borderId="6" xfId="0" applyNumberFormat="1"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5" xfId="0" applyFont="1" applyFill="1" applyBorder="1" applyAlignment="1">
      <alignment horizontal="center" vertical="center"/>
    </xf>
    <xf numFmtId="165" fontId="6" fillId="6" borderId="6" xfId="0" applyNumberFormat="1" applyFont="1" applyFill="1" applyBorder="1" applyAlignment="1">
      <alignment horizontal="center" vertical="center"/>
    </xf>
    <xf numFmtId="0" fontId="1" fillId="6" borderId="4" xfId="0" applyFont="1" applyFill="1" applyBorder="1" applyAlignment="1">
      <alignment horizontal="center" vertical="center" wrapText="1"/>
    </xf>
    <xf numFmtId="0" fontId="22" fillId="6" borderId="6" xfId="0" applyFont="1" applyFill="1" applyBorder="1" applyAlignment="1">
      <alignment horizontal="center" vertical="center"/>
    </xf>
    <xf numFmtId="1" fontId="22" fillId="6" borderId="2" xfId="0" applyNumberFormat="1" applyFont="1" applyFill="1" applyBorder="1" applyAlignment="1">
      <alignment horizontal="center" vertical="center"/>
    </xf>
    <xf numFmtId="1" fontId="22" fillId="6" borderId="3" xfId="0" applyNumberFormat="1" applyFont="1" applyFill="1" applyBorder="1" applyAlignment="1">
      <alignment horizontal="center" vertical="center"/>
    </xf>
    <xf numFmtId="1" fontId="22" fillId="6" borderId="5" xfId="0" applyNumberFormat="1" applyFont="1" applyFill="1" applyBorder="1" applyAlignment="1">
      <alignment horizontal="center" vertical="center"/>
    </xf>
    <xf numFmtId="0" fontId="4"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5" xfId="0" applyFont="1" applyFill="1" applyBorder="1" applyAlignment="1">
      <alignment horizontal="center" vertical="center"/>
    </xf>
    <xf numFmtId="0" fontId="1" fillId="6" borderId="0" xfId="0" applyFont="1" applyFill="1" applyAlignment="1">
      <alignment horizontal="center" vertical="center" wrapText="1"/>
    </xf>
    <xf numFmtId="0" fontId="4" fillId="6" borderId="6"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1" fillId="6" borderId="0" xfId="0" applyFont="1" applyFill="1" applyAlignment="1">
      <alignment vertical="center" wrapText="1"/>
    </xf>
    <xf numFmtId="0" fontId="31" fillId="6" borderId="0" xfId="0" applyFont="1" applyFill="1" applyAlignment="1">
      <alignment horizontal="center" vertical="center" wrapText="1"/>
    </xf>
    <xf numFmtId="0" fontId="32" fillId="6" borderId="0" xfId="0" applyFont="1" applyFill="1" applyAlignment="1">
      <alignment vertical="center" wrapText="1"/>
    </xf>
    <xf numFmtId="0" fontId="34" fillId="6" borderId="0" xfId="0" applyFont="1" applyFill="1"/>
    <xf numFmtId="0" fontId="33" fillId="6" borderId="0" xfId="0" applyFont="1" applyFill="1"/>
    <xf numFmtId="0" fontId="33" fillId="6" borderId="0" xfId="0" applyFont="1" applyFill="1" applyAlignment="1">
      <alignment vertical="center"/>
    </xf>
    <xf numFmtId="165" fontId="4" fillId="6" borderId="9" xfId="0" applyNumberFormat="1" applyFont="1" applyFill="1" applyBorder="1" applyAlignment="1">
      <alignment horizontal="center" vertical="center" wrapText="1"/>
    </xf>
    <xf numFmtId="0" fontId="31" fillId="6" borderId="0" xfId="0" applyFont="1" applyFill="1" applyAlignment="1">
      <alignment horizontal="center" vertical="center" wrapText="1"/>
    </xf>
  </cellXfs>
  <cellStyles count="38">
    <cellStyle name="Comma" xfId="1" builtinId="3"/>
    <cellStyle name="Comma 2" xfId="3"/>
    <cellStyle name="Comma 2 2" xfId="4"/>
    <cellStyle name="Comma 2 3" xfId="5"/>
    <cellStyle name="Comma 2 4" xfId="6"/>
    <cellStyle name="Comma 2 4 2" xfId="7"/>
    <cellStyle name="Comma 2 4 3" xfId="8"/>
    <cellStyle name="Comma 2 5" xfId="9"/>
    <cellStyle name="Comma 2 5 2" xfId="10"/>
    <cellStyle name="Comma 2 5 3" xfId="11"/>
    <cellStyle name="Comma 2 6" xfId="12"/>
    <cellStyle name="Comma 2 7" xfId="13"/>
    <cellStyle name="Comma 3" xfId="14"/>
    <cellStyle name="Comma 3 2" xfId="15"/>
    <cellStyle name="Comma 3 3" xfId="16"/>
    <cellStyle name="Comma 4" xfId="17"/>
    <cellStyle name="Comma 4 2" xfId="18"/>
    <cellStyle name="Comma 4 3" xfId="19"/>
    <cellStyle name="Comma 5" xfId="20"/>
    <cellStyle name="Comma 5 2" xfId="21"/>
    <cellStyle name="Comma 5 3" xfId="22"/>
    <cellStyle name="Comma 6" xfId="23"/>
    <cellStyle name="Comma 6 2" xfId="24"/>
    <cellStyle name="Comma 6 3" xfId="25"/>
    <cellStyle name="Comma 7" xfId="26"/>
    <cellStyle name="Comma 8" xfId="27"/>
    <cellStyle name="Normal" xfId="0" builtinId="0"/>
    <cellStyle name="Normal 2" xfId="28"/>
    <cellStyle name="Normal 2 2" xfId="29"/>
    <cellStyle name="Normal 2 2 2" xfId="30"/>
    <cellStyle name="Normal 3" xfId="31"/>
    <cellStyle name="Normal 3 2" xfId="32"/>
    <cellStyle name="Normal 3 3" xfId="33"/>
    <cellStyle name="Normal 4" xfId="34"/>
    <cellStyle name="Percent" xfId="2" builtinId="5"/>
    <cellStyle name="Percent 2" xfId="35"/>
    <cellStyle name="Percent 2 2" xfId="36"/>
    <cellStyle name="Percent 2 3" xfId="3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GPMB-%20KHOAI%20CHAU\Nhom%20Mo\1.%20Trinh%20TB%20THD\&#272;&#7907;t%202-509%20th&#7917;a\Phuong%20an%20BTHT\PA%20theo%20Q&#272;%20149,153\&#272;&#7907;t%202%20-%20116%20h&#7897;%2013.3.2026\PA%20c&#225;c%20x&#243;m%20g&#7917;i\4.%20pa%20xom%2011-cuoi_Ki&#7875;m%20tr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2025-gpmb\dongket\Du%20thao%20PA%20xom10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 gia"/>
      <sheetName val="LuuTo 2"/>
      <sheetName val="xom11p.an"/>
      <sheetName val="xom11p.an (cuoi)"/>
      <sheetName val="xom11p.an (cuoi)-9.3.2026"/>
      <sheetName val="xom11p.an (cuoi)-12.3.2026"/>
    </sheetNames>
    <sheetDataSet>
      <sheetData sheetId="0">
        <row r="1">
          <cell r="B1" t="str">
            <v>Lúa</v>
          </cell>
          <cell r="C1" t="str">
            <v>đồng/m²</v>
          </cell>
          <cell r="D1">
            <v>10000</v>
          </cell>
        </row>
        <row r="2">
          <cell r="B2" t="str">
            <v>Ngô (bắp), cây công nghiệp ngắn ngày (lạc, đậu tương …)</v>
          </cell>
          <cell r="C2" t="str">
            <v>đồng/m²</v>
          </cell>
          <cell r="D2">
            <v>10000</v>
          </cell>
        </row>
        <row r="3">
          <cell r="B3" t="str">
            <v>Cây lấy củ (khoai lang, sắn, khoai môn, khoai sọ…)</v>
          </cell>
          <cell r="C3" t="str">
            <v>đồng/m²</v>
          </cell>
          <cell r="D3">
            <v>10000</v>
          </cell>
        </row>
        <row r="4">
          <cell r="B4" t="str">
            <v>Sắn dây</v>
          </cell>
          <cell r="C4" t="str">
            <v>đồng/m²</v>
          </cell>
          <cell r="D4">
            <v>18700</v>
          </cell>
        </row>
        <row r="5">
          <cell r="B5" t="str">
            <v>Dưa hấu</v>
          </cell>
          <cell r="C5" t="str">
            <v>đồng/m²</v>
          </cell>
          <cell r="D5">
            <v>20000</v>
          </cell>
        </row>
        <row r="6">
          <cell r="B6" t="str">
            <v>Dưa lê</v>
          </cell>
          <cell r="C6" t="str">
            <v>đồng/m²</v>
          </cell>
          <cell r="D6">
            <v>24000</v>
          </cell>
        </row>
        <row r="7">
          <cell r="B7" t="str">
            <v>Dưa vàng</v>
          </cell>
          <cell r="C7" t="str">
            <v>đồng/m²</v>
          </cell>
          <cell r="D7">
            <v>28200</v>
          </cell>
        </row>
        <row r="8">
          <cell r="B8" t="str">
            <v>Dưa lưới</v>
          </cell>
          <cell r="C8" t="str">
            <v>đồng/m²</v>
          </cell>
          <cell r="D8">
            <v>35000</v>
          </cell>
        </row>
        <row r="9">
          <cell r="B9" t="str">
            <v>Dưa bở, dưa gang, dưa chuột</v>
          </cell>
          <cell r="C9" t="str">
            <v>đồng/m²</v>
          </cell>
          <cell r="D9">
            <v>23000</v>
          </cell>
        </row>
        <row r="10">
          <cell r="B10" t="str">
            <v>Cà chua, cà tím, cà bát, cà pháo…</v>
          </cell>
          <cell r="C10" t="str">
            <v>đồng/m²</v>
          </cell>
          <cell r="D10">
            <v>19400</v>
          </cell>
        </row>
        <row r="11">
          <cell r="B11" t="str">
            <v>Bầu, bí, mướp… các loại</v>
          </cell>
          <cell r="C11" t="str">
            <v>đồng/m²</v>
          </cell>
          <cell r="D11">
            <v>12500</v>
          </cell>
        </row>
        <row r="12">
          <cell r="B12" t="str">
            <v>Ớt ngọt</v>
          </cell>
          <cell r="C12" t="str">
            <v>đồng/m²</v>
          </cell>
          <cell r="D12">
            <v>42600</v>
          </cell>
        </row>
        <row r="13">
          <cell r="B13" t="str">
            <v>Su hào, bắp cải, cà rốt</v>
          </cell>
          <cell r="C13" t="str">
            <v>đồng/m²</v>
          </cell>
          <cell r="D13">
            <v>17500</v>
          </cell>
        </row>
        <row r="14">
          <cell r="B14" t="str">
            <v>Tỏi lấy củ</v>
          </cell>
          <cell r="C14" t="str">
            <v>đồng/m²</v>
          </cell>
          <cell r="D14">
            <v>37100</v>
          </cell>
        </row>
        <row r="15">
          <cell r="B15" t="str">
            <v>Tỏi tây</v>
          </cell>
          <cell r="C15" t="str">
            <v>đồng/m²</v>
          </cell>
          <cell r="D15">
            <v>27700</v>
          </cell>
        </row>
        <row r="16">
          <cell r="B16" t="str">
            <v>Hành các loại</v>
          </cell>
          <cell r="C16" t="str">
            <v>đồng/m²</v>
          </cell>
          <cell r="D16">
            <v>24300</v>
          </cell>
        </row>
        <row r="17">
          <cell r="B17" t="str">
            <v>Rau cần tây</v>
          </cell>
          <cell r="C17" t="str">
            <v>đồng/m²</v>
          </cell>
          <cell r="D17">
            <v>22900</v>
          </cell>
        </row>
        <row r="18">
          <cell r="B18" t="str">
            <v>Rau các loại, đậu đỗ các loại</v>
          </cell>
          <cell r="C18" t="str">
            <v>đồng/m²</v>
          </cell>
          <cell r="D18">
            <v>10000</v>
          </cell>
        </row>
        <row r="19">
          <cell r="B19" t="str">
            <v>Các loại rau gia vị</v>
          </cell>
          <cell r="C19" t="str">
            <v>đồng/m²</v>
          </cell>
          <cell r="D19">
            <v>11200</v>
          </cell>
        </row>
        <row r="20">
          <cell r="B20" t="str">
            <v>Các loại cây dược liệu</v>
          </cell>
          <cell r="C20" t="str">
            <v>đồng/m²</v>
          </cell>
          <cell r="D20">
            <v>18500</v>
          </cell>
        </row>
        <row r="22">
          <cell r="B22" t="str">
            <v>Hoa cúc</v>
          </cell>
          <cell r="C22" t="str">
            <v>đồng/m²</v>
          </cell>
          <cell r="D22">
            <v>57200</v>
          </cell>
        </row>
        <row r="23">
          <cell r="B23" t="str">
            <v>Hoa lay ơn</v>
          </cell>
          <cell r="C23" t="str">
            <v>đồng/m²</v>
          </cell>
          <cell r="D23">
            <v>59300</v>
          </cell>
        </row>
        <row r="24">
          <cell r="B24" t="str">
            <v>Hoa cẩm chướng</v>
          </cell>
          <cell r="C24" t="str">
            <v>đồng/m²</v>
          </cell>
          <cell r="D24">
            <v>139300</v>
          </cell>
        </row>
        <row r="25">
          <cell r="B25" t="str">
            <v>Hoa lily</v>
          </cell>
          <cell r="C25" t="str">
            <v>đồng/m²</v>
          </cell>
          <cell r="D25">
            <v>362000</v>
          </cell>
        </row>
        <row r="26">
          <cell r="B26" t="str">
            <v>Hoa loa kèn</v>
          </cell>
          <cell r="C26" t="str">
            <v>đồng/m²</v>
          </cell>
          <cell r="D26">
            <v>98500</v>
          </cell>
        </row>
        <row r="27">
          <cell r="B27" t="str">
            <v>Hoa đồng tiền</v>
          </cell>
          <cell r="C27" t="str">
            <v>đồng/m²</v>
          </cell>
          <cell r="D27">
            <v>76700</v>
          </cell>
        </row>
        <row r="28">
          <cell r="B28" t="str">
            <v>Hoa thạch thảo</v>
          </cell>
          <cell r="C28" t="str">
            <v>đồng/m²</v>
          </cell>
          <cell r="D28">
            <v>94100</v>
          </cell>
        </row>
        <row r="29">
          <cell r="B29" t="str">
            <v>Hoa cát tường</v>
          </cell>
          <cell r="C29" t="str">
            <v>đồng/m²</v>
          </cell>
          <cell r="D29">
            <v>167600</v>
          </cell>
        </row>
        <row r="30">
          <cell r="B30" t="str">
            <v>Hoa hướng dương</v>
          </cell>
          <cell r="C30" t="str">
            <v>đồng/m²</v>
          </cell>
          <cell r="D30">
            <v>17100</v>
          </cell>
        </row>
        <row r="31">
          <cell r="B31" t="str">
            <v>Hoa huệ</v>
          </cell>
          <cell r="C31" t="str">
            <v>đồng/m²</v>
          </cell>
          <cell r="D31">
            <v>49800</v>
          </cell>
        </row>
        <row r="32">
          <cell r="B32" t="str">
            <v>Hoa sen lấy hoa</v>
          </cell>
          <cell r="C32" t="str">
            <v>đồng/m²</v>
          </cell>
          <cell r="D32">
            <v>10800</v>
          </cell>
        </row>
        <row r="33">
          <cell r="B33" t="str">
            <v>Hoa súng</v>
          </cell>
          <cell r="C33" t="str">
            <v>đồng/m²</v>
          </cell>
          <cell r="D33">
            <v>6800</v>
          </cell>
        </row>
        <row r="35">
          <cell r="B35" t="str">
            <v>Cỏ voi</v>
          </cell>
          <cell r="C35" t="str">
            <v>đồng/m²</v>
          </cell>
          <cell r="D35">
            <v>5500</v>
          </cell>
        </row>
        <row r="36">
          <cell r="B36" t="str">
            <v>Nấm rơm</v>
          </cell>
          <cell r="C36" t="str">
            <v>đồng/m²</v>
          </cell>
          <cell r="D36">
            <v>92100</v>
          </cell>
        </row>
        <row r="37">
          <cell r="B37" t="str">
            <v>Nấm mỡ</v>
          </cell>
          <cell r="C37" t="str">
            <v>đồng/m²</v>
          </cell>
          <cell r="D37">
            <v>106700</v>
          </cell>
        </row>
        <row r="40">
          <cell r="B40" t="str">
            <v>Cây nhãn (vải) giống</v>
          </cell>
          <cell r="C40" t="str">
            <v>đồng/m²</v>
          </cell>
          <cell r="D40">
            <v>180000</v>
          </cell>
        </row>
        <row r="41">
          <cell r="B41" t="str">
            <v>Cây nhãn (vải) ĐK thân ≤ 5 cm</v>
          </cell>
          <cell r="C41" t="str">
            <v>đồng/cây</v>
          </cell>
          <cell r="D41">
            <v>370000</v>
          </cell>
        </row>
        <row r="42">
          <cell r="B42" t="str">
            <v>Cây nhãn (vải) 5cm ≤ ĐK gốc &lt;7cm</v>
          </cell>
          <cell r="C42" t="str">
            <v>đồng/cây</v>
          </cell>
          <cell r="D42">
            <v>1125000</v>
          </cell>
        </row>
        <row r="43">
          <cell r="B43" t="str">
            <v>Cây nhãn (vải) 7cm ≤ ĐK gốc &lt;12cm</v>
          </cell>
          <cell r="C43" t="str">
            <v>đồng/cây</v>
          </cell>
          <cell r="D43">
            <v>2700000</v>
          </cell>
        </row>
        <row r="44">
          <cell r="B44" t="str">
            <v>Cây nhãn (vải) 12cm ≤ Đk gốc &lt;20cm</v>
          </cell>
          <cell r="C44" t="str">
            <v>đồng/cây</v>
          </cell>
          <cell r="D44">
            <v>3750000</v>
          </cell>
        </row>
        <row r="45">
          <cell r="B45" t="str">
            <v>Cây nhãn (vải) 20cm ≤ Đk gốc &lt;30cm</v>
          </cell>
          <cell r="C45" t="str">
            <v>đồng/cây</v>
          </cell>
          <cell r="D45">
            <v>3850000</v>
          </cell>
        </row>
        <row r="46">
          <cell r="B46" t="str">
            <v>Cây nhãn (vải) ĐK gốc từ 30 cm trở lên</v>
          </cell>
          <cell r="C46" t="str">
            <v>đồng/cây</v>
          </cell>
          <cell r="D46">
            <v>4500000</v>
          </cell>
        </row>
        <row r="48">
          <cell r="B48" t="str">
            <v>Cây bưởi (bòng) giống</v>
          </cell>
          <cell r="C48" t="str">
            <v>đồng/m²</v>
          </cell>
          <cell r="D48">
            <v>110000</v>
          </cell>
        </row>
        <row r="49">
          <cell r="B49" t="str">
            <v>Cây bưởi (bòng)ĐK gốc 2cm ≤ Φ &lt;7cm</v>
          </cell>
          <cell r="C49" t="str">
            <v>đồng/cây</v>
          </cell>
          <cell r="D49">
            <v>330000</v>
          </cell>
        </row>
        <row r="50">
          <cell r="B50" t="str">
            <v>Cây bưởi (bòng)ĐK gốc 7cm ≤ Φ &lt;12cm</v>
          </cell>
          <cell r="C50" t="str">
            <v>đồng/cây</v>
          </cell>
          <cell r="D50">
            <v>1380000</v>
          </cell>
        </row>
        <row r="51">
          <cell r="B51" t="str">
            <v>Cây bưởi (bòng)ĐK gốc 12cm ≤ Φ &lt;20cm</v>
          </cell>
          <cell r="C51" t="str">
            <v>đồng/cây</v>
          </cell>
          <cell r="D51">
            <v>1920000</v>
          </cell>
        </row>
        <row r="52">
          <cell r="B52" t="str">
            <v>Cây bưởi (bòng)ĐK gốc từ 20 cm trở lên</v>
          </cell>
          <cell r="C52" t="str">
            <v>đồng/cây</v>
          </cell>
          <cell r="D52">
            <v>2200000</v>
          </cell>
        </row>
        <row r="54">
          <cell r="B54" t="str">
            <v>Cây cam giống</v>
          </cell>
          <cell r="C54" t="str">
            <v>đồng/m²</v>
          </cell>
          <cell r="D54">
            <v>100000</v>
          </cell>
        </row>
        <row r="55">
          <cell r="B55" t="str">
            <v>Cây cam ĐK gốc 2cm ≤ Φ &lt;7cm</v>
          </cell>
          <cell r="C55" t="str">
            <v>đồng/cây</v>
          </cell>
          <cell r="D55">
            <v>300000</v>
          </cell>
        </row>
        <row r="56">
          <cell r="B56" t="str">
            <v>Cây cam ĐK gốc 7cm ≤ Φ &lt;12cm</v>
          </cell>
          <cell r="C56" t="str">
            <v>đồng/cây</v>
          </cell>
          <cell r="D56">
            <v>1500000</v>
          </cell>
        </row>
        <row r="57">
          <cell r="B57" t="str">
            <v>Cây cam ĐK gốc 12cm ≤ Φ &lt;20cm</v>
          </cell>
          <cell r="C57" t="str">
            <v>đồng/cây</v>
          </cell>
          <cell r="D57">
            <v>2000000</v>
          </cell>
        </row>
        <row r="58">
          <cell r="B58" t="str">
            <v>Cây cam ĐK gốc từ 20 cm trở lên</v>
          </cell>
          <cell r="C58" t="str">
            <v>đồng/cây</v>
          </cell>
          <cell r="D58">
            <v>2500000</v>
          </cell>
        </row>
        <row r="60">
          <cell r="B60" t="str">
            <v>Cây chuối ĐK gốc &lt; 10cm</v>
          </cell>
          <cell r="C60" t="str">
            <v>đồng/cây</v>
          </cell>
          <cell r="D60">
            <v>30000</v>
          </cell>
        </row>
        <row r="61">
          <cell r="B61" t="str">
            <v>Cây chuối ĐK gốc ≥ 10cm</v>
          </cell>
          <cell r="C61" t="str">
            <v>đồng/cây</v>
          </cell>
          <cell r="D61">
            <v>60000</v>
          </cell>
        </row>
        <row r="63">
          <cell r="B63" t="str">
            <v>Cây ổi giống</v>
          </cell>
          <cell r="C63" t="str">
            <v>đồng/m²</v>
          </cell>
          <cell r="D63">
            <v>70000</v>
          </cell>
        </row>
        <row r="64">
          <cell r="B64" t="str">
            <v>Cây ổi ĐK gốc 2cm ≤ Φ &lt;7cm</v>
          </cell>
          <cell r="C64" t="str">
            <v>đồng/cây</v>
          </cell>
          <cell r="D64">
            <v>200000</v>
          </cell>
        </row>
        <row r="65">
          <cell r="B65" t="str">
            <v>Cây ổi ĐK gốc 7cm ≤ Φ &lt;12cm</v>
          </cell>
          <cell r="C65" t="str">
            <v>đồng/cây</v>
          </cell>
          <cell r="D65">
            <v>500000</v>
          </cell>
        </row>
        <row r="66">
          <cell r="B66" t="str">
            <v>Cây ổi ĐK gốc 12cm ≤ Φ &lt;20cm</v>
          </cell>
          <cell r="C66" t="str">
            <v>đồng/cây</v>
          </cell>
          <cell r="D66">
            <v>600000</v>
          </cell>
        </row>
        <row r="67">
          <cell r="B67" t="str">
            <v>Cây ổi ĐK gốc 20cm ≤ Φ &lt;30cm</v>
          </cell>
          <cell r="C67" t="str">
            <v>đồng/cây</v>
          </cell>
          <cell r="D67">
            <v>800000</v>
          </cell>
        </row>
        <row r="68">
          <cell r="B68" t="str">
            <v>Cây ổi ĐK gốc từ 30 cm trở lên</v>
          </cell>
          <cell r="C68" t="str">
            <v>đồng/cây</v>
          </cell>
          <cell r="D68">
            <v>1000000</v>
          </cell>
        </row>
        <row r="70">
          <cell r="B70" t="str">
            <v>Cây mít, cây chay, cây hồng xiêm, cây vú sữa, cây khế , cây chay, cây hồng xiêm, cây vú sữa, cây khế giống</v>
          </cell>
          <cell r="C70" t="str">
            <v>đồng/m²</v>
          </cell>
          <cell r="D70">
            <v>100000</v>
          </cell>
        </row>
        <row r="71">
          <cell r="B71" t="str">
            <v>Cây mít, cây chay, cây hồng xiêm, cây vú sữa, cây khế  2cm ≤ ĐK gốc &lt;7cm</v>
          </cell>
          <cell r="C71" t="str">
            <v>đồng/cây</v>
          </cell>
          <cell r="D71">
            <v>220000</v>
          </cell>
        </row>
        <row r="72">
          <cell r="B72" t="str">
            <v>Cây mít, cây chay, cây hồng xiêm, cây vú sữa, cây khế  7cm ≤ Đk gốc &lt;12cm</v>
          </cell>
          <cell r="C72" t="str">
            <v>đồng/cây</v>
          </cell>
          <cell r="D72">
            <v>370000</v>
          </cell>
        </row>
        <row r="73">
          <cell r="B73" t="str">
            <v>Cây mít, cây chay, cây hồng xiêm, cây vú sữa, cây khế  12cm ≤ ĐK gốc &lt;20cm</v>
          </cell>
          <cell r="C73" t="str">
            <v>đồng/cây</v>
          </cell>
          <cell r="D73">
            <v>520000</v>
          </cell>
        </row>
        <row r="74">
          <cell r="B74" t="str">
            <v>Cây mít, cây chay, cây hồng xiêm, cây vú sữa, cây khế  20cm ≤ ĐK gốc &lt;30cm</v>
          </cell>
          <cell r="C74" t="str">
            <v>đồng/cây</v>
          </cell>
          <cell r="D74">
            <v>600000</v>
          </cell>
        </row>
        <row r="75">
          <cell r="B75" t="str">
            <v>Cây mít, cây chay, cây hồng xiêm, cây vú sữa, cây khế  ĐK gốc từ 30 cm trở lên</v>
          </cell>
          <cell r="C75" t="str">
            <v>đồng/cây</v>
          </cell>
          <cell r="D75">
            <v>750000</v>
          </cell>
        </row>
        <row r="77">
          <cell r="B77" t="str">
            <v>Cây chanh, cây quýt, cây quất giống</v>
          </cell>
          <cell r="C77" t="str">
            <v>đồng/m²</v>
          </cell>
          <cell r="D77">
            <v>70000</v>
          </cell>
        </row>
        <row r="78">
          <cell r="B78" t="str">
            <v>Cây chanh, cây quýt, cây quất ĐK gốc 2cm ≤ Φ &lt;7cm</v>
          </cell>
          <cell r="C78" t="str">
            <v>đồng/cây</v>
          </cell>
          <cell r="D78">
            <v>200000</v>
          </cell>
        </row>
        <row r="79">
          <cell r="B79" t="str">
            <v>Cây chanh, cây quýt, cây quất ĐK gốc 7cm ≤ Φ &lt;12cm</v>
          </cell>
          <cell r="C79" t="str">
            <v>đồng/cây</v>
          </cell>
          <cell r="D79">
            <v>500000</v>
          </cell>
        </row>
        <row r="80">
          <cell r="B80" t="str">
            <v>Cây chanh, cây quýt, cây quất ĐK gốc 12cm ≤ Φ &lt;20cm</v>
          </cell>
          <cell r="C80" t="str">
            <v>đồng/cây</v>
          </cell>
          <cell r="D80">
            <v>700000</v>
          </cell>
        </row>
        <row r="81">
          <cell r="B81" t="str">
            <v>Cây chanh, cây quýt, cây quất ĐK gốc từ 20 cm trở lên</v>
          </cell>
          <cell r="C81" t="str">
            <v>đồng/cây</v>
          </cell>
          <cell r="D81">
            <v>1000000</v>
          </cell>
        </row>
        <row r="83">
          <cell r="B83" t="str">
            <v>Cây xoài giống</v>
          </cell>
          <cell r="C83" t="str">
            <v>đồng/m²</v>
          </cell>
          <cell r="D83">
            <v>70000</v>
          </cell>
        </row>
        <row r="84">
          <cell r="B84" t="str">
            <v>Cây xoài 2cm ≤ ĐK gốc &lt;7cm</v>
          </cell>
          <cell r="C84" t="str">
            <v>đồng/cây</v>
          </cell>
          <cell r="D84">
            <v>180000</v>
          </cell>
        </row>
        <row r="85">
          <cell r="B85" t="str">
            <v>Cây xoài 7cm ≤ Đk gốc &lt;12cm</v>
          </cell>
          <cell r="C85" t="str">
            <v>đồng/cây</v>
          </cell>
          <cell r="D85">
            <v>300000</v>
          </cell>
        </row>
        <row r="86">
          <cell r="B86" t="str">
            <v>Cây xoài 12cm ≤ ĐK gốc &lt;20cm</v>
          </cell>
          <cell r="C86" t="str">
            <v>đồng/cây</v>
          </cell>
          <cell r="D86">
            <v>520000</v>
          </cell>
        </row>
        <row r="87">
          <cell r="B87" t="str">
            <v>Cây xoài 20cm ≤ ĐK gốc &lt;30cm</v>
          </cell>
          <cell r="C87" t="str">
            <v>đồng/cây</v>
          </cell>
          <cell r="D87">
            <v>700000</v>
          </cell>
        </row>
        <row r="88">
          <cell r="B88" t="str">
            <v>Cây xoài ĐK gốc từ 30 cm trở lên</v>
          </cell>
          <cell r="C88" t="str">
            <v>đồng/cây</v>
          </cell>
          <cell r="D88">
            <v>1000000</v>
          </cell>
        </row>
        <row r="90">
          <cell r="B90" t="str">
            <v>Cây đu đủ giống</v>
          </cell>
          <cell r="C90" t="str">
            <v>đồng/m²</v>
          </cell>
          <cell r="D90">
            <v>50000</v>
          </cell>
        </row>
        <row r="91">
          <cell r="B91" t="str">
            <v>Cây đu đủ 0,2m ≤ cao &lt;0,5m (chưa có quả)</v>
          </cell>
          <cell r="C91" t="str">
            <v>đồng/cây</v>
          </cell>
          <cell r="D91">
            <v>15000</v>
          </cell>
        </row>
        <row r="92">
          <cell r="B92" t="str">
            <v>Cây đu đủ Cao ≥ 0,5m, chưa có quả</v>
          </cell>
          <cell r="C92" t="str">
            <v>đồng/cây</v>
          </cell>
          <cell r="D92">
            <v>30000</v>
          </cell>
        </row>
        <row r="93">
          <cell r="B93" t="str">
            <v>Cây đu đủ Cao ≥ 0,5m, đang có quả</v>
          </cell>
          <cell r="C93" t="str">
            <v>đồng/cây</v>
          </cell>
          <cell r="D93">
            <v>60000</v>
          </cell>
        </row>
        <row r="95">
          <cell r="B95" t="str">
            <v>Cây thanh long chưa có quả</v>
          </cell>
          <cell r="C95" t="str">
            <v>đồng/khóm; trụ</v>
          </cell>
          <cell r="D95">
            <v>20000</v>
          </cell>
        </row>
        <row r="96">
          <cell r="B96" t="str">
            <v>Cây thanh long Cây đang có quả</v>
          </cell>
          <cell r="C96" t="str">
            <v>đ/khóm;trụ</v>
          </cell>
          <cell r="D96">
            <v>50000</v>
          </cell>
        </row>
        <row r="97">
          <cell r="B97" t="str">
            <v>NA, Táo</v>
          </cell>
        </row>
        <row r="98">
          <cell r="B98" t="str">
            <v>Cây na giống</v>
          </cell>
          <cell r="C98" t="str">
            <v>đồng/m²</v>
          </cell>
          <cell r="D98">
            <v>70000</v>
          </cell>
        </row>
        <row r="99">
          <cell r="B99" t="str">
            <v>Cây na 2cm ≤ ĐK gốc &lt;7cm</v>
          </cell>
          <cell r="C99" t="str">
            <v>đồng/cây</v>
          </cell>
          <cell r="D99">
            <v>130000</v>
          </cell>
        </row>
        <row r="100">
          <cell r="B100" t="str">
            <v>Cây na 7cm ≤ ĐK gốc &lt;12cm</v>
          </cell>
          <cell r="C100" t="str">
            <v>đồng/cây</v>
          </cell>
          <cell r="D100">
            <v>220000</v>
          </cell>
        </row>
        <row r="101">
          <cell r="B101" t="str">
            <v>Cây na 12cm ≤ ĐK gốc &lt;20cm</v>
          </cell>
          <cell r="C101" t="str">
            <v>đồng/cây</v>
          </cell>
          <cell r="D101">
            <v>330000</v>
          </cell>
        </row>
        <row r="102">
          <cell r="B102" t="str">
            <v>Cây na 20cm ≤ ĐK gốc &lt;30cm</v>
          </cell>
          <cell r="C102" t="str">
            <v>đồng/cây</v>
          </cell>
          <cell r="D102">
            <v>360000</v>
          </cell>
        </row>
        <row r="103">
          <cell r="B103" t="str">
            <v>Cây na ĐK gốc từ 30 cm trở lên</v>
          </cell>
          <cell r="C103" t="str">
            <v>đồng/cây</v>
          </cell>
          <cell r="D103">
            <v>500000</v>
          </cell>
        </row>
        <row r="105">
          <cell r="B105" t="str">
            <v>Cây cau giống</v>
          </cell>
          <cell r="C105" t="str">
            <v>đồng/m²</v>
          </cell>
          <cell r="D105">
            <v>60000</v>
          </cell>
        </row>
        <row r="106">
          <cell r="B106" t="str">
            <v>Cây cau ĐK gốc 6cm ≤ Φ &lt;9cm</v>
          </cell>
          <cell r="C106" t="str">
            <v>đồng/cây</v>
          </cell>
          <cell r="D106">
            <v>95000</v>
          </cell>
        </row>
        <row r="107">
          <cell r="B107" t="str">
            <v>Cây cau ĐK gốc 9cm ≤ Φ &lt;12cm</v>
          </cell>
          <cell r="C107" t="str">
            <v>đồng/cây</v>
          </cell>
          <cell r="D107">
            <v>140000</v>
          </cell>
        </row>
        <row r="108">
          <cell r="B108" t="str">
            <v>Cây cau ĐK gốc 12cm ≤ Φ &lt;15cm</v>
          </cell>
          <cell r="C108" t="str">
            <v>đồng/cây</v>
          </cell>
          <cell r="D108">
            <v>190000</v>
          </cell>
        </row>
        <row r="109">
          <cell r="B109" t="str">
            <v>Cây cau ĐK gốc 15cm ≤ Φ &lt;20cm</v>
          </cell>
          <cell r="C109" t="str">
            <v>đồng/cây</v>
          </cell>
          <cell r="D109">
            <v>240000</v>
          </cell>
        </row>
        <row r="110">
          <cell r="B110" t="str">
            <v>Cây cau ĐK gốc 20cm ≤ Φ &lt;25cm</v>
          </cell>
          <cell r="C110" t="str">
            <v>đồng/cây</v>
          </cell>
          <cell r="D110">
            <v>320000</v>
          </cell>
        </row>
        <row r="111">
          <cell r="B111" t="str">
            <v>Cây cau ĐK gốc 25cm ≤ Φ &lt;30cm</v>
          </cell>
          <cell r="C111" t="str">
            <v>đồng/cây</v>
          </cell>
          <cell r="D111">
            <v>330000</v>
          </cell>
        </row>
        <row r="112">
          <cell r="B112" t="str">
            <v>Cây cau ĐK gốc 30cm ≤ Φ &lt;35cm</v>
          </cell>
          <cell r="C112" t="str">
            <v>đồng/cây</v>
          </cell>
          <cell r="D112">
            <v>400000</v>
          </cell>
        </row>
        <row r="113">
          <cell r="B113" t="str">
            <v>Cây cau ĐK gốc từ 35 cm trở lên</v>
          </cell>
          <cell r="C113" t="str">
            <v>đồng/cây</v>
          </cell>
          <cell r="D113">
            <v>430000</v>
          </cell>
        </row>
        <row r="116">
          <cell r="B116" t="str">
            <v>Cây cau vua giống</v>
          </cell>
          <cell r="C116" t="str">
            <v>đồng/m²</v>
          </cell>
          <cell r="D116">
            <v>50000</v>
          </cell>
        </row>
        <row r="117">
          <cell r="B117" t="str">
            <v>Cây cau vua 2cm ≤ ĐK gốc &lt;7cm</v>
          </cell>
          <cell r="C117" t="str">
            <v>đồng/cây</v>
          </cell>
          <cell r="D117">
            <v>75000</v>
          </cell>
        </row>
        <row r="118">
          <cell r="B118" t="str">
            <v>Cây cau vua 7cm ≤ ĐK gốc &lt;12cm</v>
          </cell>
          <cell r="C118" t="str">
            <v>đồng/cây</v>
          </cell>
          <cell r="D118">
            <v>165000</v>
          </cell>
        </row>
        <row r="119">
          <cell r="B119" t="str">
            <v>Cây cau vua 12cm ≤ ĐK gốc &lt;17cm</v>
          </cell>
          <cell r="C119" t="str">
            <v>đồng/cây</v>
          </cell>
          <cell r="D119">
            <v>195000</v>
          </cell>
        </row>
        <row r="120">
          <cell r="B120" t="str">
            <v>Cây cau vua 17cm ≤ ĐK gốc &lt;22cm</v>
          </cell>
          <cell r="C120" t="str">
            <v>đồng/cây</v>
          </cell>
          <cell r="D120">
            <v>260000</v>
          </cell>
        </row>
        <row r="121">
          <cell r="B121" t="str">
            <v>Cây cau vua 22cm ≤ ĐK gốc &lt;27cm</v>
          </cell>
          <cell r="C121" t="str">
            <v>đồng/cây</v>
          </cell>
          <cell r="D121">
            <v>320000</v>
          </cell>
        </row>
        <row r="122">
          <cell r="B122" t="str">
            <v>Cây cau vua 27cm ≤ ĐK gốc &lt;32cm</v>
          </cell>
          <cell r="C122" t="str">
            <v>đồng/cây</v>
          </cell>
          <cell r="D122">
            <v>380000</v>
          </cell>
        </row>
        <row r="123">
          <cell r="B123" t="str">
            <v>Cây cau vua 32cm ≤ ĐK gốc &lt;35cm</v>
          </cell>
          <cell r="C123" t="str">
            <v>đồng/cây</v>
          </cell>
          <cell r="D123">
            <v>450000</v>
          </cell>
        </row>
        <row r="124">
          <cell r="B124" t="str">
            <v>Cây cau vua ĐK gốc từ 35 cm trở lên</v>
          </cell>
          <cell r="C124" t="str">
            <v>đồng/cây</v>
          </cell>
          <cell r="D124">
            <v>480000</v>
          </cell>
        </row>
        <row r="126">
          <cell r="B126" t="str">
            <v>Cây dừa (cau) khác giống</v>
          </cell>
          <cell r="C126" t="str">
            <v>đồng/m²</v>
          </cell>
          <cell r="D126">
            <v>45000</v>
          </cell>
        </row>
        <row r="127">
          <cell r="B127" t="str">
            <v>Cây dừa (cau) khác 2cm ≤ ĐK gốc &lt;7cm</v>
          </cell>
          <cell r="C127" t="str">
            <v>đồng/cây</v>
          </cell>
          <cell r="D127">
            <v>55000</v>
          </cell>
        </row>
        <row r="128">
          <cell r="B128" t="str">
            <v>Cây dừa (cau) khác 7cm ≤ ĐK gốc &lt;12cm</v>
          </cell>
          <cell r="C128" t="str">
            <v>đồng/cây</v>
          </cell>
          <cell r="D128">
            <v>120000</v>
          </cell>
        </row>
        <row r="129">
          <cell r="B129" t="str">
            <v>Cây dừa (cau) khác 12cm ≤ ĐK gốc &lt;17cm</v>
          </cell>
          <cell r="C129" t="str">
            <v>đồng/cây</v>
          </cell>
          <cell r="D129">
            <v>145000</v>
          </cell>
        </row>
        <row r="130">
          <cell r="B130" t="str">
            <v>Cây dừa (cau) khác 17cm ≤ ĐK gốc &lt;22cm</v>
          </cell>
          <cell r="C130" t="str">
            <v>đồng/cây</v>
          </cell>
          <cell r="D130">
            <v>190000</v>
          </cell>
        </row>
        <row r="131">
          <cell r="B131" t="str">
            <v>Cây dừa (cau) khác 22cm ≤ ĐK gốc &lt;27cm</v>
          </cell>
          <cell r="C131" t="str">
            <v>đồng/cây</v>
          </cell>
          <cell r="D131">
            <v>250000</v>
          </cell>
        </row>
        <row r="132">
          <cell r="B132" t="str">
            <v>Cây dừa (cau) khác 27cm ≤ ĐK gốc &lt;32cm</v>
          </cell>
          <cell r="C132" t="str">
            <v>đồng/cây</v>
          </cell>
          <cell r="D132">
            <v>320000</v>
          </cell>
        </row>
        <row r="133">
          <cell r="B133" t="str">
            <v>Cây dừa (cau) khác 32cm ≤ ĐK gốc &lt;35cm</v>
          </cell>
          <cell r="C133" t="str">
            <v>đồng/cây</v>
          </cell>
          <cell r="D133">
            <v>380000</v>
          </cell>
        </row>
        <row r="134">
          <cell r="B134" t="str">
            <v>Cây dừa (cau) khác ĐK gốc từ 35 cm trở lên</v>
          </cell>
          <cell r="C134" t="str">
            <v>đồng/cây</v>
          </cell>
          <cell r="D134">
            <v>400000</v>
          </cell>
        </row>
        <row r="136">
          <cell r="B136" t="str">
            <v>Cây hoa sữa, bàng, phượng vĩ, gạo giống</v>
          </cell>
          <cell r="C136" t="str">
            <v>đồng/m²</v>
          </cell>
          <cell r="D136">
            <v>36000</v>
          </cell>
        </row>
        <row r="137">
          <cell r="B137" t="str">
            <v>Cây hoa sữa, bàng, phượng vĩ, gạo ĐK gốc &lt;5cm</v>
          </cell>
          <cell r="C137" t="str">
            <v>đồng/cây</v>
          </cell>
          <cell r="D137">
            <v>36000</v>
          </cell>
        </row>
        <row r="138">
          <cell r="B138" t="str">
            <v>Cây hoa sữa, bàng, phượng vĩ, gạo 5cm ≤ ĐK gốc &lt;10cm</v>
          </cell>
          <cell r="C138" t="str">
            <v>đồng/cây</v>
          </cell>
          <cell r="D138">
            <v>60000</v>
          </cell>
        </row>
        <row r="139">
          <cell r="B139" t="str">
            <v>Cây hoa sữa, bàng, phượng vĩ, gạo 10cm ≤ ĐK gốc &lt;13cm</v>
          </cell>
          <cell r="C139" t="str">
            <v>đồng/cây</v>
          </cell>
          <cell r="D139">
            <v>85000</v>
          </cell>
        </row>
        <row r="140">
          <cell r="B140" t="str">
            <v>Cây hoa sữa, bàng, phượng vĩ, gạo 13cm ≤ ĐK gốc &lt;20cm</v>
          </cell>
          <cell r="C140" t="str">
            <v>đồng/cây</v>
          </cell>
          <cell r="D140">
            <v>110000</v>
          </cell>
        </row>
        <row r="141">
          <cell r="B141" t="str">
            <v>Cây hoa sữa, bàng, phượng vĩ, gạo 20cm ≤ ĐK gốc &lt;40cm</v>
          </cell>
          <cell r="C141" t="str">
            <v>đồng/cây</v>
          </cell>
          <cell r="D141">
            <v>150000</v>
          </cell>
        </row>
        <row r="142">
          <cell r="B142" t="str">
            <v>Cây hoa sữa, bàng, phượng vĩ, gạo Đường kính gốc từ 40cm trở lên</v>
          </cell>
          <cell r="C142" t="str">
            <v>đồng/cây</v>
          </cell>
          <cell r="D142">
            <v>220000</v>
          </cell>
        </row>
        <row r="144">
          <cell r="B144" t="str">
            <v>Cây trứng cá giống</v>
          </cell>
          <cell r="C144" t="str">
            <v>đồng/m²</v>
          </cell>
          <cell r="D144">
            <v>45000</v>
          </cell>
        </row>
        <row r="145">
          <cell r="B145" t="str">
            <v>Cây trứng cá ĐK gốc &lt;5cm</v>
          </cell>
          <cell r="C145" t="str">
            <v>đồng/cây</v>
          </cell>
          <cell r="D145">
            <v>45000</v>
          </cell>
        </row>
        <row r="146">
          <cell r="B146" t="str">
            <v>Cây trứng cá 5cm ≤ ĐK gốc &lt;10cm</v>
          </cell>
          <cell r="C146" t="str">
            <v>đồng/cây</v>
          </cell>
          <cell r="D146">
            <v>75000</v>
          </cell>
        </row>
        <row r="147">
          <cell r="B147" t="str">
            <v>Cây trứng cá 10cm ≤ ĐK gốc &lt;13cm</v>
          </cell>
          <cell r="C147" t="str">
            <v>đồng/cây</v>
          </cell>
          <cell r="D147">
            <v>105000</v>
          </cell>
        </row>
        <row r="148">
          <cell r="B148" t="str">
            <v>Cây trứng cá 13cm ≤ ĐK gốc &lt;20cm</v>
          </cell>
          <cell r="C148" t="str">
            <v>đồng/cây</v>
          </cell>
          <cell r="D148">
            <v>135000</v>
          </cell>
        </row>
        <row r="149">
          <cell r="B149" t="str">
            <v>Cây trứng cá 20cm ≤ ĐK gốc &lt;40cm</v>
          </cell>
          <cell r="C149" t="str">
            <v>đồng/cây</v>
          </cell>
          <cell r="D149">
            <v>200000</v>
          </cell>
        </row>
        <row r="150">
          <cell r="B150" t="str">
            <v>Cây trứng cá Đường kính gốc từ 40cm trở lên</v>
          </cell>
          <cell r="C150" t="str">
            <v>đồng/cây</v>
          </cell>
          <cell r="D150">
            <v>220000</v>
          </cell>
        </row>
        <row r="152">
          <cell r="B152" t="str">
            <v>Cây bằng lăng, liễu, dâu da xoan, tường vi, lựu giống</v>
          </cell>
          <cell r="C152" t="str">
            <v>đồng/m²</v>
          </cell>
          <cell r="D152">
            <v>33000</v>
          </cell>
        </row>
        <row r="153">
          <cell r="B153" t="str">
            <v>Cây bằng lăng, liễu, dâu da xoan, tường vi, lựu ĐK gốc &lt;5cm</v>
          </cell>
          <cell r="C153" t="str">
            <v>đồng/cây</v>
          </cell>
          <cell r="D153">
            <v>33000</v>
          </cell>
        </row>
        <row r="154">
          <cell r="B154" t="str">
            <v>Cây bằng lăng, liễu, dâu da xoan, tường vi, lựu 5cm ≤ ĐK gốc &lt;10cm</v>
          </cell>
          <cell r="C154" t="str">
            <v>đồng/cây</v>
          </cell>
          <cell r="D154">
            <v>55000</v>
          </cell>
        </row>
        <row r="155">
          <cell r="B155" t="str">
            <v>Cây bằng lăng, liễu, dâu da xoan, tường vi, lựu 10cm ≤ ĐK gốc &lt;13cm</v>
          </cell>
          <cell r="C155" t="str">
            <v>đồng/cây</v>
          </cell>
          <cell r="D155">
            <v>80000</v>
          </cell>
        </row>
        <row r="156">
          <cell r="B156" t="str">
            <v>Cây bằng lăng, liễu, dâu da xoan, tường vi, lựu 13cm ≤ ĐK gốc &lt;20cm</v>
          </cell>
          <cell r="C156" t="str">
            <v>đồng/cây</v>
          </cell>
          <cell r="D156">
            <v>100000</v>
          </cell>
        </row>
        <row r="157">
          <cell r="B157" t="str">
            <v>Cây bằng lăng, liễu, dâu da xoan, tường vi, lựu 20cm ≤ ĐK gốc &lt;40cm</v>
          </cell>
          <cell r="C157" t="str">
            <v>đồng/cây</v>
          </cell>
          <cell r="D157">
            <v>200000</v>
          </cell>
        </row>
        <row r="158">
          <cell r="B158" t="str">
            <v>Cây bằng lăng, liễu, dâu da xoan, tường vi, lựu Đường kính gốc từ 40cm trở lên</v>
          </cell>
          <cell r="C158" t="str">
            <v>đồng/cây</v>
          </cell>
          <cell r="D158">
            <v>220000</v>
          </cell>
        </row>
        <row r="160">
          <cell r="B160" t="str">
            <v>Cây lộc vừng, đào tiên ĐK gốc &lt;5cm</v>
          </cell>
          <cell r="C160" t="str">
            <v>đồng/cây</v>
          </cell>
          <cell r="D160">
            <v>85000</v>
          </cell>
        </row>
        <row r="161">
          <cell r="B161" t="str">
            <v>Cây lộc vừng, đào tiên 5cm ≤ ĐK gốc &lt;7cm</v>
          </cell>
          <cell r="C161" t="str">
            <v>đồng/cây</v>
          </cell>
          <cell r="D161">
            <v>110000</v>
          </cell>
        </row>
        <row r="162">
          <cell r="B162" t="str">
            <v>Cây lộc vừng, đào tiên 7cm ≤ ĐK gốc &lt;10cm</v>
          </cell>
          <cell r="C162" t="str">
            <v>đồng/cây</v>
          </cell>
          <cell r="D162">
            <v>180000</v>
          </cell>
        </row>
        <row r="163">
          <cell r="B163" t="str">
            <v>Cây lộc vừng, đào tiên 10cm ≤ ĐK gốc &lt;15cm</v>
          </cell>
          <cell r="C163" t="str">
            <v>đồng/cây</v>
          </cell>
          <cell r="D163">
            <v>320000</v>
          </cell>
        </row>
        <row r="164">
          <cell r="B164" t="str">
            <v>Cây lộc vừng, đào tiên ĐK gốc từ 15 cm trở lên</v>
          </cell>
          <cell r="C164" t="str">
            <v>đồng/cây</v>
          </cell>
          <cell r="D164">
            <v>420000</v>
          </cell>
        </row>
        <row r="166">
          <cell r="B166" t="str">
            <v>Cây đa, đa lan, ngọc lan, hoa ban, vàng anh, muồng hoàng yến (osaka, bò cạp vàng,...) ĐK gốc &lt;5cm</v>
          </cell>
          <cell r="C166" t="str">
            <v>đồng/cây</v>
          </cell>
          <cell r="D166">
            <v>80000</v>
          </cell>
        </row>
        <row r="167">
          <cell r="B167" t="str">
            <v>Cây đa, đa lan, ngọc lan, hoa ban, vàng anh, muồng hoàng yến (osaka, bò cạp vàng,...) 5cm ≤ ĐK gốc &lt;7cm</v>
          </cell>
          <cell r="C167" t="str">
            <v>đồng/cây</v>
          </cell>
          <cell r="D167">
            <v>100000</v>
          </cell>
        </row>
        <row r="168">
          <cell r="B168" t="str">
            <v>Cây đa, đa lan, ngọc lan, hoa ban, vàng anh, muồng hoàng yến (osaka, bò cạp vàng,...) 7cm ≤ ĐK gốc &lt;10cm</v>
          </cell>
          <cell r="C168" t="str">
            <v>đồng/cây</v>
          </cell>
          <cell r="D168">
            <v>160000</v>
          </cell>
        </row>
        <row r="169">
          <cell r="B169" t="str">
            <v>Cây đa, đa lan, ngọc lan, hoa ban, vàng anh, muồng hoàng yến (osaka, bò cạp vàng,...) 10cm ≤ ĐK gốc &lt;15cm</v>
          </cell>
          <cell r="C169" t="str">
            <v>đồng/cây</v>
          </cell>
          <cell r="D169">
            <v>280000</v>
          </cell>
        </row>
        <row r="170">
          <cell r="B170" t="str">
            <v>Cây đa, đa lan, ngọc lan, hoa ban, vàng anh, muồng hoàng yến (osaka, bò cạp vàng,...) 15cm ≤ ĐK gốc &lt;20cm</v>
          </cell>
          <cell r="C170" t="str">
            <v>đồng/cây</v>
          </cell>
          <cell r="D170">
            <v>400000</v>
          </cell>
        </row>
        <row r="171">
          <cell r="B171" t="str">
            <v>Cây đa, đa lan, ngọc lan, hoa ban, vàng anh, muồng hoàng yến (osaka, bò cạp vàng,...) ĐK gốc từ 20 cm trở lên</v>
          </cell>
          <cell r="C171" t="str">
            <v>đồng/cây</v>
          </cell>
          <cell r="D171">
            <v>520000</v>
          </cell>
        </row>
        <row r="173">
          <cell r="B173" t="str">
            <v>Cây sanh, si, vạn tuế, tùng 3cm ≤ ĐK gốc &lt;5cm</v>
          </cell>
          <cell r="C173" t="str">
            <v>đồng/cây</v>
          </cell>
          <cell r="D173">
            <v>70000</v>
          </cell>
        </row>
        <row r="174">
          <cell r="B174" t="str">
            <v>Cây sanh, si, vạn tuế, tùng 5cm ≤ ĐK gốc &lt;7cm</v>
          </cell>
          <cell r="C174" t="str">
            <v>đồng/cây</v>
          </cell>
          <cell r="D174">
            <v>90000</v>
          </cell>
        </row>
        <row r="175">
          <cell r="B175" t="str">
            <v>Cây sanh, si, vạn tuế, tùng 7cm ≤ ĐK gốc &lt;10cm</v>
          </cell>
          <cell r="C175" t="str">
            <v>đồng/cây</v>
          </cell>
          <cell r="D175">
            <v>120000</v>
          </cell>
        </row>
        <row r="176">
          <cell r="B176" t="str">
            <v>Cây sanh, si, vạn tuế, tùng 10cm ≤ ĐK gốc &lt;15cm</v>
          </cell>
          <cell r="C176" t="str">
            <v>đồng/cây</v>
          </cell>
          <cell r="D176">
            <v>250000</v>
          </cell>
        </row>
        <row r="177">
          <cell r="B177" t="str">
            <v>Cây sanh, si, vạn tuế, tùng 15cm ≤ ĐK gốc &lt;20cm</v>
          </cell>
          <cell r="C177" t="str">
            <v>đồng/cây</v>
          </cell>
          <cell r="D177">
            <v>300000</v>
          </cell>
        </row>
        <row r="178">
          <cell r="B178" t="str">
            <v>Cây sanh, si, vạn tuế, tùng ĐK gốc từ 20 cm trở lên</v>
          </cell>
          <cell r="C178" t="str">
            <v>đồng/cây</v>
          </cell>
          <cell r="D178">
            <v>350000</v>
          </cell>
        </row>
        <row r="180">
          <cell r="B180" t="str">
            <v>Cây ngâu, nguyệt quế Cây giống</v>
          </cell>
          <cell r="C180" t="str">
            <v>đồng/m²</v>
          </cell>
          <cell r="D180">
            <v>45000</v>
          </cell>
        </row>
        <row r="181">
          <cell r="B181" t="str">
            <v>Cây ngâu, nguyệt quế ĐK gốc &lt;5cm</v>
          </cell>
          <cell r="C181" t="str">
            <v>đồng/cây</v>
          </cell>
          <cell r="D181">
            <v>80000</v>
          </cell>
        </row>
        <row r="182">
          <cell r="B182" t="str">
            <v>Cây ngâu, nguyệt quế 5cm ≤ ĐK gốc &lt;10cm</v>
          </cell>
          <cell r="C182" t="str">
            <v>đồng/cây</v>
          </cell>
          <cell r="D182">
            <v>240000</v>
          </cell>
        </row>
        <row r="183">
          <cell r="B183" t="str">
            <v>Cây ngâu, nguyệt quế 10cm ≤ ĐK gốc &lt;13cm</v>
          </cell>
          <cell r="C183" t="str">
            <v>đồng/cây</v>
          </cell>
          <cell r="D183">
            <v>380000</v>
          </cell>
        </row>
        <row r="184">
          <cell r="B184" t="str">
            <v>Cây ngâu, nguyệt quế 13cm ≤ ĐK gốc &lt;20cm</v>
          </cell>
          <cell r="C184" t="str">
            <v>đồng/cây</v>
          </cell>
          <cell r="D184">
            <v>450000</v>
          </cell>
        </row>
        <row r="185">
          <cell r="B185" t="str">
            <v>Cây ngâu, nguyệt quế ĐK gốc từ 20cm trở lên</v>
          </cell>
          <cell r="C185" t="str">
            <v>đồng/cây</v>
          </cell>
          <cell r="D185">
            <v>650000</v>
          </cell>
        </row>
        <row r="187">
          <cell r="B187" t="str">
            <v>Cây bồ đề, đại giống</v>
          </cell>
          <cell r="C187" t="str">
            <v>đồng/m²</v>
          </cell>
          <cell r="D187">
            <v>50000</v>
          </cell>
        </row>
        <row r="188">
          <cell r="B188" t="str">
            <v>Cây bồ đề, đại 3cm ≤ ĐK gốc &lt;5cm</v>
          </cell>
          <cell r="C188" t="str">
            <v>đồng/cây</v>
          </cell>
          <cell r="D188">
            <v>80000</v>
          </cell>
        </row>
        <row r="189">
          <cell r="B189" t="str">
            <v>Cây bồ đề, đại 5cm ≤ ĐK gốc &lt;7cm</v>
          </cell>
          <cell r="C189" t="str">
            <v>đồng/cây</v>
          </cell>
          <cell r="D189">
            <v>100000</v>
          </cell>
        </row>
        <row r="190">
          <cell r="B190" t="str">
            <v>Cây bồ đề, đại 7cm ≤ ĐK gốc &lt;10cm</v>
          </cell>
          <cell r="C190" t="str">
            <v>đồng/cây</v>
          </cell>
          <cell r="D190">
            <v>130000</v>
          </cell>
        </row>
        <row r="191">
          <cell r="B191" t="str">
            <v>Cây bồ đề, đại 10cm ≤ ĐK gốc &lt;15cm</v>
          </cell>
          <cell r="C191" t="str">
            <v>đồng/cây</v>
          </cell>
          <cell r="D191">
            <v>280000</v>
          </cell>
        </row>
        <row r="192">
          <cell r="B192" t="str">
            <v>Cây bồ đề, đại ĐK gốc từ 15 cm trở lên</v>
          </cell>
          <cell r="C192" t="str">
            <v>đồng/cây</v>
          </cell>
          <cell r="D192">
            <v>400000</v>
          </cell>
        </row>
        <row r="194">
          <cell r="B194" t="str">
            <v>Cây đào, mai, mộc giống</v>
          </cell>
          <cell r="C194" t="str">
            <v>đồng/m²</v>
          </cell>
          <cell r="D194">
            <v>30000</v>
          </cell>
        </row>
        <row r="195">
          <cell r="B195" t="str">
            <v>Cây đào, mai, mộc 2cm ≤ ĐK gốc &lt;5cm</v>
          </cell>
          <cell r="C195" t="str">
            <v>đồng/cây</v>
          </cell>
          <cell r="D195">
            <v>70000</v>
          </cell>
        </row>
        <row r="196">
          <cell r="B196" t="str">
            <v>Cây đào, mai, mộc 5cm ≤ ĐK gốc &lt;7cm</v>
          </cell>
          <cell r="C196" t="str">
            <v>đồng/cây</v>
          </cell>
          <cell r="D196">
            <v>150000</v>
          </cell>
        </row>
        <row r="197">
          <cell r="B197" t="str">
            <v>Cây đào, mai, mộc 7cm ≤ ĐK gốc &lt;10cm</v>
          </cell>
          <cell r="C197" t="str">
            <v>đồng/cây</v>
          </cell>
          <cell r="D197">
            <v>200000</v>
          </cell>
        </row>
        <row r="198">
          <cell r="B198" t="str">
            <v>Cây đào, mai, mộc ĐK gốc từ 10cm trở lên</v>
          </cell>
          <cell r="C198" t="str">
            <v>đồng/cây</v>
          </cell>
          <cell r="D198">
            <v>420000</v>
          </cell>
        </row>
        <row r="200">
          <cell r="B200" t="str">
            <v>Cây đinh lăng ĐK gốc &lt;5cm</v>
          </cell>
          <cell r="C200" t="str">
            <v>đồng/cây</v>
          </cell>
          <cell r="D200">
            <v>30000</v>
          </cell>
        </row>
        <row r="201">
          <cell r="B201" t="str">
            <v>Cây đinh lăng 5cm ≤ ĐK gốc &lt;10cm</v>
          </cell>
          <cell r="C201" t="str">
            <v>đồng/cây</v>
          </cell>
          <cell r="D201">
            <v>60000</v>
          </cell>
        </row>
        <row r="202">
          <cell r="B202" t="str">
            <v>Cây đinh lăng ĐK gốc từ 10cm trở lên</v>
          </cell>
          <cell r="C202" t="str">
            <v>đồng/cây</v>
          </cell>
          <cell r="D202">
            <v>80000</v>
          </cell>
        </row>
        <row r="203">
          <cell r="B203" t="str">
            <v>Giếng khoan</v>
          </cell>
          <cell r="C203" t="str">
            <v>giếng</v>
          </cell>
          <cell r="D203">
            <v>2400000</v>
          </cell>
        </row>
        <row r="204">
          <cell r="B204" t="str">
            <v>NHÓM CÂY TÍNH THEO M2 GIÀN</v>
          </cell>
        </row>
        <row r="205">
          <cell r="B205" t="str">
            <v>Giàn gấc</v>
          </cell>
          <cell r="C205" t="str">
            <v>đồng/m2</v>
          </cell>
          <cell r="D205">
            <v>8000</v>
          </cell>
        </row>
        <row r="206">
          <cell r="B206" t="str">
            <v>Giàn nho</v>
          </cell>
          <cell r="C206" t="str">
            <v>đồng/m2</v>
          </cell>
          <cell r="D206">
            <v>10000</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 gia"/>
      <sheetName val="LuuTo 2"/>
      <sheetName val="PA thẩm định"/>
      <sheetName val="xom10(DK)"/>
      <sheetName val="xom11(DK) "/>
      <sheetName val="xom11(DK)  (2)"/>
      <sheetName val="Sheet1"/>
    </sheetNames>
    <sheetDataSet>
      <sheetData sheetId="0">
        <row r="1">
          <cell r="B1" t="str">
            <v>Lúa</v>
          </cell>
        </row>
        <row r="46">
          <cell r="C46" t="str">
            <v>đồng/cây</v>
          </cell>
          <cell r="D46">
            <v>4500000</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topLeftCell="A55" workbookViewId="0">
      <selection activeCell="H66" sqref="H66"/>
    </sheetView>
  </sheetViews>
  <sheetFormatPr defaultColWidth="9" defaultRowHeight="15"/>
  <cols>
    <col min="1" max="1" width="37.42578125" customWidth="1"/>
    <col min="2" max="2" width="18" customWidth="1"/>
    <col min="3" max="3" width="17.42578125" customWidth="1"/>
    <col min="4" max="4" width="12.42578125" customWidth="1"/>
    <col min="11" max="11" width="26.42578125" customWidth="1"/>
    <col min="12" max="12" width="13.42578125" customWidth="1"/>
    <col min="13" max="13" width="14.140625" customWidth="1"/>
    <col min="14" max="14" width="15" customWidth="1"/>
  </cols>
  <sheetData>
    <row r="1" spans="1:16">
      <c r="A1" s="224" t="s">
        <v>10</v>
      </c>
      <c r="B1" s="224"/>
      <c r="C1" s="224"/>
      <c r="D1" s="224"/>
      <c r="E1" s="224"/>
      <c r="F1" s="224"/>
      <c r="G1" s="224"/>
      <c r="H1" s="224"/>
      <c r="I1" s="224"/>
      <c r="J1" s="224"/>
      <c r="K1" s="224"/>
      <c r="L1" s="224"/>
      <c r="M1" s="224"/>
      <c r="N1" s="224"/>
      <c r="O1" s="224"/>
      <c r="P1" s="224"/>
    </row>
    <row r="2" spans="1:16">
      <c r="A2" s="225"/>
      <c r="B2" s="225"/>
      <c r="C2" s="225"/>
      <c r="D2" s="225"/>
      <c r="E2" s="225"/>
      <c r="F2" s="225"/>
      <c r="G2" s="225"/>
      <c r="H2" s="225"/>
      <c r="I2" s="225"/>
      <c r="J2" s="225"/>
      <c r="K2" s="225"/>
      <c r="L2" s="225"/>
      <c r="M2" s="225"/>
      <c r="N2" s="225"/>
      <c r="O2" s="225"/>
      <c r="P2" s="225"/>
    </row>
    <row r="3" spans="1:16" ht="94.5">
      <c r="A3" s="4" t="s">
        <v>11</v>
      </c>
      <c r="B3" s="4" t="s">
        <v>12</v>
      </c>
      <c r="C3" s="4" t="s">
        <v>13</v>
      </c>
      <c r="D3" s="4" t="s">
        <v>14</v>
      </c>
      <c r="E3" s="4" t="s">
        <v>15</v>
      </c>
      <c r="F3" s="4" t="s">
        <v>16</v>
      </c>
      <c r="G3" s="5" t="s">
        <v>17</v>
      </c>
      <c r="H3" s="5" t="s">
        <v>18</v>
      </c>
      <c r="I3" s="4" t="s">
        <v>19</v>
      </c>
      <c r="J3" s="4" t="s">
        <v>20</v>
      </c>
      <c r="K3" s="4" t="s">
        <v>21</v>
      </c>
      <c r="L3" s="4" t="s">
        <v>22</v>
      </c>
      <c r="M3" s="5" t="s">
        <v>23</v>
      </c>
      <c r="N3" s="9" t="s">
        <v>1</v>
      </c>
      <c r="O3" s="4" t="s">
        <v>24</v>
      </c>
      <c r="P3" s="4" t="s">
        <v>25</v>
      </c>
    </row>
    <row r="4" spans="1:16" ht="30.6" customHeight="1">
      <c r="A4" s="6" t="s">
        <v>26</v>
      </c>
      <c r="B4" s="7" t="s">
        <v>27</v>
      </c>
      <c r="C4" s="7">
        <v>2</v>
      </c>
      <c r="D4" s="7">
        <v>124</v>
      </c>
      <c r="E4" s="7">
        <v>341</v>
      </c>
      <c r="F4" s="7" t="s">
        <v>28</v>
      </c>
      <c r="G4" s="8">
        <v>336</v>
      </c>
      <c r="H4" s="8">
        <v>1009</v>
      </c>
      <c r="I4" s="7">
        <v>3.4</v>
      </c>
      <c r="J4" s="7">
        <v>2</v>
      </c>
      <c r="K4" s="7"/>
      <c r="L4" s="7"/>
      <c r="M4" s="8"/>
      <c r="N4" s="10"/>
      <c r="O4" s="7"/>
      <c r="P4" s="7"/>
    </row>
    <row r="5" spans="1:16" ht="30.6" customHeight="1">
      <c r="A5" s="6" t="s">
        <v>29</v>
      </c>
      <c r="B5" s="7"/>
      <c r="C5" s="7">
        <v>2</v>
      </c>
      <c r="D5" s="7">
        <v>256</v>
      </c>
      <c r="E5" s="7">
        <v>341.8</v>
      </c>
      <c r="F5" s="7" t="s">
        <v>28</v>
      </c>
      <c r="G5" s="8">
        <v>342</v>
      </c>
      <c r="H5" s="8">
        <v>684</v>
      </c>
      <c r="I5" s="7">
        <v>2.2999999999999998</v>
      </c>
      <c r="J5" s="7">
        <v>8</v>
      </c>
      <c r="K5" s="7"/>
      <c r="L5" s="7"/>
      <c r="M5" s="8"/>
      <c r="N5" s="10"/>
      <c r="O5" s="7"/>
      <c r="P5" s="7"/>
    </row>
    <row r="6" spans="1:16" ht="30.6" customHeight="1">
      <c r="A6" s="6" t="s">
        <v>30</v>
      </c>
      <c r="B6" s="7" t="s">
        <v>31</v>
      </c>
      <c r="C6" s="7">
        <v>2</v>
      </c>
      <c r="D6" s="7">
        <v>42</v>
      </c>
      <c r="E6" s="7">
        <v>727.9</v>
      </c>
      <c r="F6" s="7" t="s">
        <v>28</v>
      </c>
      <c r="G6" s="8">
        <v>733</v>
      </c>
      <c r="H6" s="8">
        <v>1770</v>
      </c>
      <c r="I6" s="7">
        <v>6</v>
      </c>
      <c r="J6" s="7">
        <v>15</v>
      </c>
      <c r="K6" s="7"/>
      <c r="L6" s="7"/>
      <c r="M6" s="8"/>
      <c r="N6" s="10"/>
      <c r="O6" s="7"/>
      <c r="P6" s="7"/>
    </row>
    <row r="7" spans="1:16" ht="30.6" customHeight="1">
      <c r="A7" s="6" t="s">
        <v>32</v>
      </c>
      <c r="B7" s="7" t="s">
        <v>33</v>
      </c>
      <c r="C7" s="7">
        <v>2</v>
      </c>
      <c r="D7" s="7">
        <v>228</v>
      </c>
      <c r="E7" s="7">
        <v>496.8</v>
      </c>
      <c r="F7" s="7" t="s">
        <v>28</v>
      </c>
      <c r="G7" s="8">
        <v>489</v>
      </c>
      <c r="H7" s="8">
        <v>800</v>
      </c>
      <c r="I7" s="7">
        <v>2.7</v>
      </c>
      <c r="J7" s="7">
        <v>9</v>
      </c>
      <c r="K7" s="7"/>
      <c r="L7" s="7"/>
      <c r="M7" s="8"/>
      <c r="N7" s="10"/>
      <c r="O7" s="7"/>
      <c r="P7" s="7"/>
    </row>
    <row r="8" spans="1:16" ht="30.6" customHeight="1">
      <c r="A8" s="6" t="s">
        <v>34</v>
      </c>
      <c r="B8" s="7" t="s">
        <v>35</v>
      </c>
      <c r="C8" s="7">
        <v>2</v>
      </c>
      <c r="D8" s="7">
        <v>32</v>
      </c>
      <c r="E8" s="7">
        <v>479.1</v>
      </c>
      <c r="F8" s="7" t="s">
        <v>28</v>
      </c>
      <c r="G8" s="8">
        <v>489</v>
      </c>
      <c r="H8" s="8">
        <v>1296</v>
      </c>
      <c r="I8" s="7">
        <v>4</v>
      </c>
      <c r="J8" s="7">
        <v>10</v>
      </c>
      <c r="K8" s="7"/>
      <c r="L8" s="7"/>
      <c r="M8" s="8"/>
      <c r="N8" s="10"/>
      <c r="O8" s="7"/>
      <c r="P8" s="7"/>
    </row>
    <row r="9" spans="1:16" ht="30.6" customHeight="1">
      <c r="A9" s="6" t="s">
        <v>36</v>
      </c>
      <c r="B9" s="7" t="s">
        <v>33</v>
      </c>
      <c r="C9" s="7">
        <v>2</v>
      </c>
      <c r="D9" s="7">
        <v>242</v>
      </c>
      <c r="E9" s="7">
        <v>618.4</v>
      </c>
      <c r="F9" s="7" t="s">
        <v>28</v>
      </c>
      <c r="G9" s="8">
        <v>616</v>
      </c>
      <c r="H9" s="8">
        <v>1004</v>
      </c>
      <c r="I9" s="7">
        <v>3.4</v>
      </c>
      <c r="J9" s="7">
        <v>9</v>
      </c>
      <c r="K9" s="7"/>
      <c r="L9" s="7"/>
      <c r="M9" s="8"/>
      <c r="N9" s="10"/>
      <c r="O9" s="7"/>
      <c r="P9" s="7"/>
    </row>
    <row r="10" spans="1:16" ht="30.6" customHeight="1">
      <c r="A10" s="6" t="s">
        <v>37</v>
      </c>
      <c r="B10" s="7" t="s">
        <v>33</v>
      </c>
      <c r="C10" s="7">
        <v>2</v>
      </c>
      <c r="D10" s="7">
        <v>135</v>
      </c>
      <c r="E10" s="7">
        <v>469.2</v>
      </c>
      <c r="F10" s="7" t="s">
        <v>28</v>
      </c>
      <c r="G10" s="8">
        <v>460</v>
      </c>
      <c r="H10" s="8">
        <v>923</v>
      </c>
      <c r="I10" s="7">
        <v>3.1</v>
      </c>
      <c r="J10" s="7">
        <v>6</v>
      </c>
      <c r="K10" s="7"/>
      <c r="L10" s="7"/>
      <c r="M10" s="8"/>
      <c r="N10" s="10"/>
      <c r="O10" s="7"/>
      <c r="P10" s="7"/>
    </row>
    <row r="11" spans="1:16" ht="30.6" customHeight="1">
      <c r="A11" s="6" t="s">
        <v>38</v>
      </c>
      <c r="B11" s="7" t="s">
        <v>39</v>
      </c>
      <c r="C11" s="7">
        <v>2</v>
      </c>
      <c r="D11" s="7">
        <v>23</v>
      </c>
      <c r="E11" s="7">
        <v>597.4</v>
      </c>
      <c r="F11" s="7" t="s">
        <v>28</v>
      </c>
      <c r="G11" s="8">
        <v>616</v>
      </c>
      <c r="H11" s="8">
        <v>1578</v>
      </c>
      <c r="I11" s="7">
        <v>5.35</v>
      </c>
      <c r="J11" s="7">
        <v>11</v>
      </c>
      <c r="K11" s="7"/>
      <c r="L11" s="7"/>
      <c r="M11" s="8"/>
      <c r="N11" s="10"/>
      <c r="O11" s="7"/>
      <c r="P11" s="7"/>
    </row>
    <row r="12" spans="1:16" ht="30.6" customHeight="1">
      <c r="A12" s="6" t="s">
        <v>40</v>
      </c>
      <c r="B12" s="7" t="s">
        <v>33</v>
      </c>
      <c r="C12" s="7">
        <v>2</v>
      </c>
      <c r="D12" s="7">
        <v>225</v>
      </c>
      <c r="E12" s="7">
        <v>743.6</v>
      </c>
      <c r="F12" s="7" t="s">
        <v>28</v>
      </c>
      <c r="G12" s="8">
        <v>733</v>
      </c>
      <c r="H12" s="8">
        <v>1199</v>
      </c>
      <c r="I12" s="7">
        <v>4</v>
      </c>
      <c r="J12" s="7">
        <v>9</v>
      </c>
      <c r="K12" s="7"/>
      <c r="L12" s="7"/>
      <c r="M12" s="8"/>
      <c r="N12" s="10"/>
      <c r="O12" s="7"/>
      <c r="P12" s="7"/>
    </row>
    <row r="13" spans="1:16" ht="30.6" customHeight="1">
      <c r="A13" s="6" t="s">
        <v>41</v>
      </c>
      <c r="B13" s="7" t="s">
        <v>42</v>
      </c>
      <c r="C13" s="7">
        <v>2</v>
      </c>
      <c r="D13" s="7">
        <v>113</v>
      </c>
      <c r="E13" s="7">
        <v>617.1</v>
      </c>
      <c r="F13" s="7" t="s">
        <v>28</v>
      </c>
      <c r="G13" s="8">
        <v>616</v>
      </c>
      <c r="H13" s="8">
        <v>1710</v>
      </c>
      <c r="I13" s="7">
        <v>5</v>
      </c>
      <c r="J13" s="7">
        <v>15</v>
      </c>
      <c r="K13" s="7"/>
      <c r="L13" s="7"/>
      <c r="M13" s="8"/>
      <c r="N13" s="10"/>
      <c r="O13" s="7"/>
      <c r="P13" s="7"/>
    </row>
    <row r="14" spans="1:16" ht="30.6" customHeight="1">
      <c r="A14" s="6" t="s">
        <v>43</v>
      </c>
      <c r="B14" s="7" t="s">
        <v>44</v>
      </c>
      <c r="C14" s="7">
        <v>2</v>
      </c>
      <c r="D14" s="7">
        <v>20</v>
      </c>
      <c r="E14" s="7">
        <v>291.60000000000002</v>
      </c>
      <c r="F14" s="7" t="s">
        <v>28</v>
      </c>
      <c r="G14" s="8">
        <v>295</v>
      </c>
      <c r="H14" s="8">
        <v>886</v>
      </c>
      <c r="I14" s="7">
        <v>3</v>
      </c>
      <c r="J14" s="7">
        <v>10</v>
      </c>
      <c r="K14" s="7"/>
      <c r="L14" s="7"/>
      <c r="M14" s="8"/>
      <c r="N14" s="10"/>
      <c r="O14" s="7"/>
      <c r="P14" s="7"/>
    </row>
    <row r="15" spans="1:16" ht="30.6" customHeight="1">
      <c r="A15" s="6" t="s">
        <v>45</v>
      </c>
      <c r="B15" s="7" t="s">
        <v>46</v>
      </c>
      <c r="C15" s="7">
        <v>2</v>
      </c>
      <c r="D15" s="7">
        <v>13</v>
      </c>
      <c r="E15" s="7">
        <v>433.2</v>
      </c>
      <c r="F15" s="7" t="s">
        <v>28</v>
      </c>
      <c r="G15" s="8">
        <v>389</v>
      </c>
      <c r="H15" s="8">
        <v>1368</v>
      </c>
      <c r="I15" s="7">
        <v>4.6399999999999997</v>
      </c>
      <c r="J15" s="7">
        <v>12</v>
      </c>
      <c r="K15" s="7"/>
      <c r="L15" s="7"/>
      <c r="M15" s="8"/>
      <c r="N15" s="10"/>
      <c r="O15" s="7"/>
      <c r="P15" s="7"/>
    </row>
    <row r="16" spans="1:16" ht="30.6" customHeight="1">
      <c r="A16" s="6" t="s">
        <v>47</v>
      </c>
      <c r="B16" s="7" t="s">
        <v>33</v>
      </c>
      <c r="C16" s="7">
        <v>2</v>
      </c>
      <c r="D16" s="7">
        <v>251</v>
      </c>
      <c r="E16" s="7">
        <v>494.7</v>
      </c>
      <c r="F16" s="7" t="s">
        <v>28</v>
      </c>
      <c r="G16" s="8">
        <v>489</v>
      </c>
      <c r="H16" s="8">
        <v>800</v>
      </c>
      <c r="I16" s="7">
        <v>2.7</v>
      </c>
      <c r="J16" s="7">
        <v>3</v>
      </c>
      <c r="K16" s="7"/>
      <c r="L16" s="7"/>
      <c r="M16" s="8"/>
      <c r="N16" s="10"/>
      <c r="O16" s="7"/>
      <c r="P16" s="7"/>
    </row>
    <row r="17" spans="1:16" ht="30.6" customHeight="1">
      <c r="A17" s="6" t="s">
        <v>48</v>
      </c>
      <c r="B17" s="7" t="s">
        <v>33</v>
      </c>
      <c r="C17" s="7">
        <v>2</v>
      </c>
      <c r="D17" s="7">
        <v>133</v>
      </c>
      <c r="E17" s="7">
        <v>298.5</v>
      </c>
      <c r="F17" s="7" t="s">
        <v>28</v>
      </c>
      <c r="G17" s="8">
        <v>295</v>
      </c>
      <c r="H17" s="8">
        <v>590</v>
      </c>
      <c r="I17" s="7">
        <v>2</v>
      </c>
      <c r="J17" s="7">
        <v>2</v>
      </c>
      <c r="K17" s="7"/>
      <c r="L17" s="7"/>
      <c r="M17" s="8"/>
      <c r="N17" s="10"/>
      <c r="O17" s="7"/>
      <c r="P17" s="7"/>
    </row>
    <row r="18" spans="1:16" ht="30.6" customHeight="1">
      <c r="A18" s="6" t="s">
        <v>49</v>
      </c>
      <c r="B18" s="7" t="s">
        <v>33</v>
      </c>
      <c r="C18" s="7">
        <v>2</v>
      </c>
      <c r="D18" s="7">
        <v>173</v>
      </c>
      <c r="E18" s="7">
        <v>744.9</v>
      </c>
      <c r="F18" s="7" t="s">
        <v>28</v>
      </c>
      <c r="G18" s="8">
        <v>738</v>
      </c>
      <c r="H18" s="8">
        <v>1224</v>
      </c>
      <c r="I18" s="7">
        <v>4.0999999999999996</v>
      </c>
      <c r="J18" s="7">
        <v>15</v>
      </c>
      <c r="K18" s="7"/>
      <c r="L18" s="7"/>
      <c r="M18" s="8"/>
      <c r="N18" s="10"/>
      <c r="O18" s="7"/>
      <c r="P18" s="7"/>
    </row>
    <row r="19" spans="1:16" ht="30.6" customHeight="1">
      <c r="A19" s="6" t="s">
        <v>50</v>
      </c>
      <c r="B19" s="7" t="s">
        <v>51</v>
      </c>
      <c r="C19" s="7">
        <v>2</v>
      </c>
      <c r="D19" s="7">
        <v>36</v>
      </c>
      <c r="E19" s="7">
        <v>604.70000000000005</v>
      </c>
      <c r="F19" s="7" t="s">
        <v>28</v>
      </c>
      <c r="G19" s="8">
        <v>616</v>
      </c>
      <c r="H19" s="8">
        <v>1710</v>
      </c>
      <c r="I19" s="7">
        <v>5</v>
      </c>
      <c r="J19" s="7">
        <v>15</v>
      </c>
      <c r="K19" s="7"/>
      <c r="L19" s="7"/>
      <c r="M19" s="8"/>
      <c r="N19" s="10"/>
      <c r="O19" s="7"/>
      <c r="P19" s="7"/>
    </row>
    <row r="20" spans="1:16" ht="30.6" customHeight="1">
      <c r="A20" s="6" t="s">
        <v>52</v>
      </c>
      <c r="B20" s="7" t="s">
        <v>42</v>
      </c>
      <c r="C20" s="7">
        <v>2</v>
      </c>
      <c r="D20" s="7">
        <v>116</v>
      </c>
      <c r="E20" s="7">
        <v>296.60000000000002</v>
      </c>
      <c r="F20" s="7" t="s">
        <v>28</v>
      </c>
      <c r="G20" s="8">
        <v>295</v>
      </c>
      <c r="H20" s="8">
        <v>885</v>
      </c>
      <c r="I20" s="7">
        <v>3</v>
      </c>
      <c r="J20" s="7">
        <v>7</v>
      </c>
      <c r="K20" s="7"/>
      <c r="L20" s="7"/>
      <c r="M20" s="8"/>
      <c r="N20" s="10"/>
      <c r="O20" s="7"/>
      <c r="P20" s="7"/>
    </row>
    <row r="21" spans="1:16" ht="30.6" customHeight="1">
      <c r="A21" s="6" t="s">
        <v>53</v>
      </c>
      <c r="B21" s="7" t="s">
        <v>33</v>
      </c>
      <c r="C21" s="7">
        <v>2</v>
      </c>
      <c r="D21" s="7">
        <v>136</v>
      </c>
      <c r="E21" s="7">
        <v>413.7</v>
      </c>
      <c r="F21" s="7" t="s">
        <v>28</v>
      </c>
      <c r="G21" s="8">
        <v>408</v>
      </c>
      <c r="H21" s="8">
        <v>808</v>
      </c>
      <c r="I21" s="7">
        <v>2.7</v>
      </c>
      <c r="J21" s="7">
        <v>9</v>
      </c>
      <c r="K21" s="7"/>
      <c r="L21" s="7"/>
      <c r="M21" s="8"/>
      <c r="N21" s="10"/>
      <c r="O21" s="7"/>
      <c r="P21" s="7"/>
    </row>
    <row r="22" spans="1:16" ht="30.6" customHeight="1">
      <c r="A22" s="6" t="s">
        <v>54</v>
      </c>
      <c r="B22" s="7"/>
      <c r="C22" s="7">
        <v>2</v>
      </c>
      <c r="D22" s="7">
        <v>141</v>
      </c>
      <c r="E22" s="7">
        <v>615.70000000000005</v>
      </c>
      <c r="F22" s="7" t="s">
        <v>28</v>
      </c>
      <c r="G22" s="8">
        <v>613</v>
      </c>
      <c r="H22" s="8">
        <v>613</v>
      </c>
      <c r="I22" s="7">
        <v>2</v>
      </c>
      <c r="J22" s="7"/>
      <c r="K22" s="7"/>
      <c r="L22" s="7"/>
      <c r="M22" s="8"/>
      <c r="N22" s="10"/>
      <c r="O22" s="7"/>
      <c r="P22" s="7"/>
    </row>
    <row r="23" spans="1:16" ht="30.6" customHeight="1">
      <c r="A23" s="6" t="s">
        <v>55</v>
      </c>
      <c r="B23" s="7" t="s">
        <v>33</v>
      </c>
      <c r="C23" s="7">
        <v>2</v>
      </c>
      <c r="D23" s="7">
        <v>263</v>
      </c>
      <c r="E23" s="7">
        <v>886.1</v>
      </c>
      <c r="F23" s="7" t="s">
        <v>28</v>
      </c>
      <c r="G23" s="8">
        <v>876</v>
      </c>
      <c r="H23" s="8">
        <v>1420</v>
      </c>
      <c r="I23" s="7">
        <v>4.8</v>
      </c>
      <c r="J23" s="7">
        <v>13</v>
      </c>
      <c r="K23" s="7"/>
      <c r="L23" s="7"/>
      <c r="M23" s="8"/>
      <c r="N23" s="10"/>
      <c r="O23" s="7"/>
      <c r="P23" s="7"/>
    </row>
    <row r="24" spans="1:16" ht="30.6" customHeight="1">
      <c r="A24" s="6" t="s">
        <v>56</v>
      </c>
      <c r="B24" s="7" t="s">
        <v>33</v>
      </c>
      <c r="C24" s="7">
        <v>2</v>
      </c>
      <c r="D24" s="7">
        <v>172</v>
      </c>
      <c r="E24" s="7">
        <v>348</v>
      </c>
      <c r="F24" s="7" t="s">
        <v>28</v>
      </c>
      <c r="G24" s="8">
        <v>342</v>
      </c>
      <c r="H24" s="8">
        <v>684</v>
      </c>
      <c r="I24" s="7">
        <v>2.2999999999999998</v>
      </c>
      <c r="J24" s="7">
        <v>2</v>
      </c>
      <c r="K24" s="7"/>
      <c r="L24" s="7"/>
      <c r="M24" s="8"/>
      <c r="N24" s="10"/>
      <c r="O24" s="7"/>
      <c r="P24" s="7"/>
    </row>
    <row r="25" spans="1:16" ht="30.6" customHeight="1">
      <c r="A25" s="6" t="s">
        <v>57</v>
      </c>
      <c r="B25" s="7" t="s">
        <v>33</v>
      </c>
      <c r="C25" s="7">
        <v>2</v>
      </c>
      <c r="D25" s="7">
        <v>238</v>
      </c>
      <c r="E25" s="7">
        <v>885.4</v>
      </c>
      <c r="F25" s="7" t="s">
        <v>28</v>
      </c>
      <c r="G25" s="8">
        <v>876</v>
      </c>
      <c r="H25" s="8">
        <v>1420</v>
      </c>
      <c r="I25" s="7">
        <v>4</v>
      </c>
      <c r="J25" s="7">
        <v>16</v>
      </c>
      <c r="K25" s="7"/>
      <c r="L25" s="7"/>
      <c r="M25" s="8"/>
      <c r="N25" s="10"/>
      <c r="O25" s="7"/>
      <c r="P25" s="7"/>
    </row>
    <row r="26" spans="1:16" ht="30.6" customHeight="1">
      <c r="A26" s="6" t="s">
        <v>58</v>
      </c>
      <c r="B26" s="7" t="s">
        <v>42</v>
      </c>
      <c r="C26" s="7">
        <v>2</v>
      </c>
      <c r="D26" s="7">
        <v>119</v>
      </c>
      <c r="E26" s="7">
        <v>492.5</v>
      </c>
      <c r="F26" s="7" t="s">
        <v>28</v>
      </c>
      <c r="G26" s="8">
        <v>489</v>
      </c>
      <c r="H26" s="8">
        <v>1193</v>
      </c>
      <c r="I26" s="7">
        <v>4</v>
      </c>
      <c r="J26" s="7">
        <v>20</v>
      </c>
      <c r="K26" s="7"/>
      <c r="L26" s="7"/>
      <c r="M26" s="8"/>
      <c r="N26" s="10"/>
      <c r="O26" s="7"/>
      <c r="P26" s="7"/>
    </row>
    <row r="27" spans="1:16" ht="30.6" customHeight="1">
      <c r="A27" s="6" t="s">
        <v>59</v>
      </c>
      <c r="B27" s="7" t="s">
        <v>60</v>
      </c>
      <c r="C27" s="7">
        <v>2</v>
      </c>
      <c r="D27" s="7">
        <v>93</v>
      </c>
      <c r="E27" s="7">
        <v>323.39999999999998</v>
      </c>
      <c r="F27" s="7" t="s">
        <v>28</v>
      </c>
      <c r="G27" s="8">
        <v>323</v>
      </c>
      <c r="H27" s="8">
        <v>971</v>
      </c>
      <c r="I27" s="7">
        <v>3</v>
      </c>
      <c r="J27" s="7">
        <v>7</v>
      </c>
      <c r="K27" s="7"/>
      <c r="L27" s="7"/>
      <c r="M27" s="8"/>
      <c r="N27" s="10"/>
      <c r="O27" s="7"/>
      <c r="P27" s="7"/>
    </row>
    <row r="28" spans="1:16" ht="30.6" customHeight="1">
      <c r="A28" s="6" t="s">
        <v>61</v>
      </c>
      <c r="B28" s="7" t="s">
        <v>62</v>
      </c>
      <c r="C28" s="7">
        <v>2</v>
      </c>
      <c r="D28" s="7">
        <v>38</v>
      </c>
      <c r="E28" s="7">
        <v>609.1</v>
      </c>
      <c r="F28" s="7" t="s">
        <v>28</v>
      </c>
      <c r="G28" s="8">
        <v>616</v>
      </c>
      <c r="H28" s="8">
        <v>1710</v>
      </c>
      <c r="I28" s="7">
        <v>5</v>
      </c>
      <c r="J28" s="7">
        <v>14</v>
      </c>
      <c r="K28" s="7"/>
      <c r="L28" s="7"/>
      <c r="M28" s="8"/>
      <c r="N28" s="10"/>
      <c r="O28" s="7"/>
      <c r="P28" s="7"/>
    </row>
    <row r="29" spans="1:16" ht="30.6" customHeight="1">
      <c r="A29" s="6" t="s">
        <v>63</v>
      </c>
      <c r="B29" s="7" t="s">
        <v>33</v>
      </c>
      <c r="C29" s="7">
        <v>2</v>
      </c>
      <c r="D29" s="7">
        <v>166</v>
      </c>
      <c r="E29" s="7">
        <v>323.2</v>
      </c>
      <c r="F29" s="7" t="s">
        <v>28</v>
      </c>
      <c r="G29" s="8">
        <v>320</v>
      </c>
      <c r="H29" s="8">
        <v>630</v>
      </c>
      <c r="I29" s="7">
        <v>2</v>
      </c>
      <c r="J29" s="7">
        <v>3</v>
      </c>
      <c r="K29" s="7"/>
      <c r="L29" s="7"/>
      <c r="M29" s="8"/>
      <c r="N29" s="10"/>
      <c r="O29" s="7"/>
      <c r="P29" s="7"/>
    </row>
    <row r="30" spans="1:16" ht="30.6" customHeight="1">
      <c r="A30" s="6" t="s">
        <v>64</v>
      </c>
      <c r="B30" s="7" t="s">
        <v>65</v>
      </c>
      <c r="C30" s="7">
        <v>2</v>
      </c>
      <c r="D30" s="7">
        <v>35</v>
      </c>
      <c r="E30" s="7">
        <v>292.39999999999998</v>
      </c>
      <c r="F30" s="7" t="s">
        <v>28</v>
      </c>
      <c r="G30" s="8">
        <v>295</v>
      </c>
      <c r="H30" s="8">
        <v>885</v>
      </c>
      <c r="I30" s="7">
        <v>3</v>
      </c>
      <c r="J30" s="7">
        <v>6</v>
      </c>
      <c r="K30" s="7"/>
      <c r="L30" s="7"/>
      <c r="M30" s="8"/>
      <c r="N30" s="10"/>
      <c r="O30" s="7"/>
      <c r="P30" s="7"/>
    </row>
    <row r="31" spans="1:16" ht="30.6" customHeight="1">
      <c r="A31" s="6" t="s">
        <v>66</v>
      </c>
      <c r="B31" s="7" t="s">
        <v>67</v>
      </c>
      <c r="C31" s="7">
        <v>2</v>
      </c>
      <c r="D31" s="7">
        <v>49</v>
      </c>
      <c r="E31" s="7">
        <v>622.4</v>
      </c>
      <c r="F31" s="7" t="s">
        <v>28</v>
      </c>
      <c r="G31" s="8">
        <v>616</v>
      </c>
      <c r="H31" s="8">
        <v>1663</v>
      </c>
      <c r="I31" s="7">
        <v>5.6</v>
      </c>
      <c r="J31" s="7">
        <v>13</v>
      </c>
      <c r="K31" s="7"/>
      <c r="L31" s="7"/>
      <c r="M31" s="8"/>
      <c r="N31" s="10"/>
      <c r="O31" s="7"/>
      <c r="P31" s="7"/>
    </row>
    <row r="32" spans="1:16" ht="30.6" customHeight="1">
      <c r="A32" s="6" t="s">
        <v>68</v>
      </c>
      <c r="B32" s="7" t="s">
        <v>42</v>
      </c>
      <c r="C32" s="7">
        <v>2</v>
      </c>
      <c r="D32" s="7">
        <v>275</v>
      </c>
      <c r="E32" s="7">
        <v>825.9</v>
      </c>
      <c r="F32" s="7" t="s">
        <v>28</v>
      </c>
      <c r="G32" s="8">
        <v>825</v>
      </c>
      <c r="H32" s="8">
        <v>2065</v>
      </c>
      <c r="I32" s="7">
        <v>7</v>
      </c>
      <c r="J32" s="7">
        <v>24</v>
      </c>
      <c r="K32" s="7"/>
      <c r="L32" s="7"/>
      <c r="M32" s="8"/>
      <c r="N32" s="10"/>
      <c r="O32" s="7"/>
      <c r="P32" s="7"/>
    </row>
    <row r="33" spans="1:16" ht="30.6" customHeight="1">
      <c r="A33" s="6" t="s">
        <v>69</v>
      </c>
      <c r="B33" s="7"/>
      <c r="C33" s="7">
        <v>2</v>
      </c>
      <c r="D33" s="7">
        <v>274</v>
      </c>
      <c r="E33" s="7">
        <v>300.5</v>
      </c>
      <c r="F33" s="7" t="s">
        <v>28</v>
      </c>
      <c r="G33" s="8">
        <v>295</v>
      </c>
      <c r="H33" s="8">
        <v>295</v>
      </c>
      <c r="I33" s="7">
        <v>1</v>
      </c>
      <c r="J33" s="7"/>
      <c r="K33" s="7"/>
      <c r="L33" s="7"/>
      <c r="M33" s="8"/>
      <c r="N33" s="10"/>
      <c r="O33" s="7"/>
      <c r="P33" s="7"/>
    </row>
    <row r="34" spans="1:16" ht="30.6" customHeight="1">
      <c r="A34" s="6" t="s">
        <v>70</v>
      </c>
      <c r="B34" s="7" t="s">
        <v>33</v>
      </c>
      <c r="C34" s="7">
        <v>2</v>
      </c>
      <c r="D34" s="7">
        <v>126</v>
      </c>
      <c r="E34" s="7">
        <v>353.9</v>
      </c>
      <c r="F34" s="7" t="s">
        <v>28</v>
      </c>
      <c r="G34" s="8">
        <v>359</v>
      </c>
      <c r="H34" s="8">
        <v>1077</v>
      </c>
      <c r="I34" s="7">
        <v>3.6</v>
      </c>
      <c r="J34" s="7">
        <v>5</v>
      </c>
      <c r="K34" s="7"/>
      <c r="L34" s="7"/>
      <c r="M34" s="8"/>
      <c r="N34" s="10"/>
      <c r="O34" s="7"/>
      <c r="P34" s="7"/>
    </row>
    <row r="35" spans="1:16" ht="30.6" customHeight="1">
      <c r="A35" s="6" t="s">
        <v>71</v>
      </c>
      <c r="B35" s="7" t="s">
        <v>72</v>
      </c>
      <c r="C35" s="7">
        <v>2</v>
      </c>
      <c r="D35" s="7">
        <v>66</v>
      </c>
      <c r="E35" s="7">
        <v>279.39999999999998</v>
      </c>
      <c r="F35" s="7" t="s">
        <v>28</v>
      </c>
      <c r="G35" s="8">
        <v>295</v>
      </c>
      <c r="H35" s="8">
        <v>885</v>
      </c>
      <c r="I35" s="7">
        <v>3</v>
      </c>
      <c r="J35" s="7">
        <v>7</v>
      </c>
      <c r="K35" s="7"/>
      <c r="L35" s="7"/>
      <c r="M35" s="8"/>
      <c r="N35" s="10"/>
      <c r="O35" s="7"/>
      <c r="P35" s="7"/>
    </row>
    <row r="36" spans="1:16" ht="30.6" customHeight="1">
      <c r="A36" s="6" t="s">
        <v>73</v>
      </c>
      <c r="B36" s="7" t="s">
        <v>74</v>
      </c>
      <c r="C36" s="7">
        <v>2</v>
      </c>
      <c r="D36" s="7">
        <v>73</v>
      </c>
      <c r="E36" s="7">
        <v>483.4</v>
      </c>
      <c r="F36" s="7" t="s">
        <v>28</v>
      </c>
      <c r="G36" s="8">
        <v>489</v>
      </c>
      <c r="H36" s="8">
        <v>1368</v>
      </c>
      <c r="I36" s="7">
        <v>4</v>
      </c>
      <c r="J36" s="7">
        <v>6</v>
      </c>
      <c r="K36" s="7"/>
      <c r="L36" s="7"/>
      <c r="M36" s="8"/>
      <c r="N36" s="10"/>
      <c r="O36" s="7"/>
      <c r="P36" s="7"/>
    </row>
    <row r="37" spans="1:16" ht="30.6" customHeight="1">
      <c r="A37" s="6" t="s">
        <v>75</v>
      </c>
      <c r="B37" s="7"/>
      <c r="C37" s="7">
        <v>2</v>
      </c>
      <c r="D37" s="7">
        <v>187</v>
      </c>
      <c r="E37" s="7">
        <v>304.5</v>
      </c>
      <c r="F37" s="7" t="s">
        <v>28</v>
      </c>
      <c r="G37" s="8">
        <v>295</v>
      </c>
      <c r="H37" s="8">
        <v>590</v>
      </c>
      <c r="I37" s="7">
        <v>2</v>
      </c>
      <c r="J37" s="7">
        <v>6</v>
      </c>
      <c r="K37" s="7"/>
      <c r="L37" s="7"/>
      <c r="M37" s="8"/>
      <c r="N37" s="10"/>
      <c r="O37" s="7"/>
      <c r="P37" s="7"/>
    </row>
    <row r="38" spans="1:16" ht="30.6" customHeight="1">
      <c r="A38" s="6" t="s">
        <v>76</v>
      </c>
      <c r="B38" s="7" t="s">
        <v>33</v>
      </c>
      <c r="C38" s="7">
        <v>2</v>
      </c>
      <c r="D38" s="7">
        <v>183</v>
      </c>
      <c r="E38" s="7">
        <v>629.29999999999995</v>
      </c>
      <c r="F38" s="7" t="s">
        <v>28</v>
      </c>
      <c r="G38" s="8">
        <v>616</v>
      </c>
      <c r="H38" s="8">
        <v>1014</v>
      </c>
      <c r="I38" s="7">
        <v>3.4</v>
      </c>
      <c r="J38" s="7">
        <v>12</v>
      </c>
      <c r="K38" s="7"/>
      <c r="L38" s="7"/>
      <c r="M38" s="8"/>
      <c r="N38" s="10"/>
      <c r="O38" s="7"/>
      <c r="P38" s="7"/>
    </row>
    <row r="39" spans="1:16" ht="30.6" customHeight="1">
      <c r="A39" s="6" t="s">
        <v>77</v>
      </c>
      <c r="B39" s="7" t="s">
        <v>33</v>
      </c>
      <c r="C39" s="7">
        <v>2</v>
      </c>
      <c r="D39" s="7">
        <v>159</v>
      </c>
      <c r="E39" s="7">
        <v>399.6</v>
      </c>
      <c r="F39" s="7" t="s">
        <v>28</v>
      </c>
      <c r="G39" s="8">
        <v>311</v>
      </c>
      <c r="H39" s="8"/>
      <c r="I39" s="7"/>
      <c r="J39" s="7">
        <v>4</v>
      </c>
      <c r="K39" s="7"/>
      <c r="L39" s="7"/>
      <c r="M39" s="8"/>
      <c r="N39" s="10"/>
      <c r="O39" s="7"/>
      <c r="P39" s="7"/>
    </row>
    <row r="40" spans="1:16" ht="30.6" customHeight="1">
      <c r="A40" s="6" t="s">
        <v>78</v>
      </c>
      <c r="B40" s="7" t="s">
        <v>79</v>
      </c>
      <c r="C40" s="7">
        <v>2</v>
      </c>
      <c r="D40" s="7">
        <v>10</v>
      </c>
      <c r="E40" s="7">
        <v>491.6</v>
      </c>
      <c r="F40" s="7" t="s">
        <v>28</v>
      </c>
      <c r="G40" s="8">
        <v>489</v>
      </c>
      <c r="H40" s="8">
        <v>1277</v>
      </c>
      <c r="I40" s="7">
        <v>4.3</v>
      </c>
      <c r="J40" s="7">
        <v>11</v>
      </c>
      <c r="K40" s="7"/>
      <c r="L40" s="7"/>
      <c r="M40" s="8"/>
      <c r="N40" s="10"/>
      <c r="O40" s="7"/>
      <c r="P40" s="7"/>
    </row>
    <row r="41" spans="1:16" ht="30.6" customHeight="1">
      <c r="A41" s="6" t="s">
        <v>78</v>
      </c>
      <c r="B41" s="7"/>
      <c r="C41" s="7">
        <v>2</v>
      </c>
      <c r="D41" s="7">
        <v>152</v>
      </c>
      <c r="E41" s="7">
        <v>322.10000000000002</v>
      </c>
      <c r="F41" s="7" t="s">
        <v>28</v>
      </c>
      <c r="G41" s="8">
        <v>311</v>
      </c>
      <c r="H41" s="8"/>
      <c r="I41" s="7"/>
      <c r="J41" s="7"/>
      <c r="K41" s="7"/>
      <c r="L41" s="7"/>
      <c r="M41" s="8"/>
      <c r="N41" s="10"/>
      <c r="O41" s="7"/>
      <c r="P41" s="7"/>
    </row>
    <row r="42" spans="1:16" ht="30.6" customHeight="1">
      <c r="A42" s="6" t="s">
        <v>80</v>
      </c>
      <c r="B42" s="7" t="s">
        <v>33</v>
      </c>
      <c r="C42" s="7">
        <v>2</v>
      </c>
      <c r="D42" s="7">
        <v>222</v>
      </c>
      <c r="E42" s="7">
        <v>497.1</v>
      </c>
      <c r="F42" s="7" t="s">
        <v>28</v>
      </c>
      <c r="G42" s="8">
        <v>489</v>
      </c>
      <c r="H42" s="8">
        <v>800</v>
      </c>
      <c r="I42" s="7">
        <v>2.7</v>
      </c>
      <c r="J42" s="7">
        <v>7</v>
      </c>
      <c r="K42" s="7"/>
      <c r="L42" s="7"/>
      <c r="M42" s="8"/>
      <c r="N42" s="10"/>
      <c r="O42" s="7"/>
      <c r="P42" s="7"/>
    </row>
    <row r="43" spans="1:16" ht="30.6" customHeight="1">
      <c r="A43" s="6" t="s">
        <v>81</v>
      </c>
      <c r="B43" s="7" t="s">
        <v>82</v>
      </c>
      <c r="C43" s="7">
        <v>2</v>
      </c>
      <c r="D43" s="7">
        <v>14</v>
      </c>
      <c r="E43" s="7">
        <v>608.20000000000005</v>
      </c>
      <c r="F43" s="7" t="s">
        <v>28</v>
      </c>
      <c r="G43" s="8">
        <v>616</v>
      </c>
      <c r="H43" s="8">
        <v>1576</v>
      </c>
      <c r="I43" s="7">
        <v>5.35</v>
      </c>
      <c r="J43" s="7"/>
      <c r="K43" s="7"/>
      <c r="L43" s="7"/>
      <c r="M43" s="8"/>
      <c r="N43" s="10"/>
      <c r="O43" s="7"/>
      <c r="P43" s="7"/>
    </row>
    <row r="44" spans="1:16" ht="30.6" customHeight="1">
      <c r="A44" s="6" t="s">
        <v>83</v>
      </c>
      <c r="B44" s="7" t="s">
        <v>84</v>
      </c>
      <c r="C44" s="7">
        <v>2</v>
      </c>
      <c r="D44" s="7">
        <v>25</v>
      </c>
      <c r="E44" s="7">
        <v>708</v>
      </c>
      <c r="F44" s="7" t="s">
        <v>28</v>
      </c>
      <c r="G44" s="8">
        <v>733</v>
      </c>
      <c r="H44" s="8">
        <v>1847</v>
      </c>
      <c r="I44" s="7">
        <v>6.26</v>
      </c>
      <c r="J44" s="7">
        <v>18</v>
      </c>
      <c r="K44" s="7"/>
      <c r="L44" s="7"/>
      <c r="M44" s="8"/>
      <c r="N44" s="10"/>
      <c r="O44" s="7"/>
      <c r="P44" s="7"/>
    </row>
    <row r="45" spans="1:16" ht="30.6" customHeight="1">
      <c r="A45" s="6" t="s">
        <v>85</v>
      </c>
      <c r="B45" s="7" t="s">
        <v>86</v>
      </c>
      <c r="C45" s="7">
        <v>2</v>
      </c>
      <c r="D45" s="7">
        <v>37</v>
      </c>
      <c r="E45" s="7">
        <v>606.20000000000005</v>
      </c>
      <c r="F45" s="7" t="s">
        <v>28</v>
      </c>
      <c r="G45" s="8">
        <v>616</v>
      </c>
      <c r="H45" s="8">
        <v>1658</v>
      </c>
      <c r="I45" s="7">
        <v>5</v>
      </c>
      <c r="J45" s="7">
        <v>15</v>
      </c>
      <c r="K45" s="7"/>
      <c r="L45" s="7"/>
      <c r="M45" s="8"/>
      <c r="N45" s="10"/>
      <c r="O45" s="7"/>
      <c r="P45" s="7"/>
    </row>
    <row r="46" spans="1:16" ht="30.6" customHeight="1">
      <c r="A46" s="6" t="s">
        <v>87</v>
      </c>
      <c r="B46" s="7" t="s">
        <v>33</v>
      </c>
      <c r="C46" s="7">
        <v>2</v>
      </c>
      <c r="D46" s="7">
        <v>87</v>
      </c>
      <c r="E46" s="7">
        <v>295.8</v>
      </c>
      <c r="F46" s="7" t="s">
        <v>28</v>
      </c>
      <c r="G46" s="8">
        <v>295</v>
      </c>
      <c r="H46" s="8">
        <v>1522</v>
      </c>
      <c r="I46" s="7">
        <v>5.15</v>
      </c>
      <c r="J46" s="7">
        <v>13</v>
      </c>
      <c r="K46" s="7"/>
      <c r="L46" s="7"/>
      <c r="M46" s="8"/>
      <c r="N46" s="10"/>
      <c r="O46" s="7"/>
      <c r="P46" s="7"/>
    </row>
    <row r="47" spans="1:16" ht="30.6" customHeight="1">
      <c r="A47" s="6" t="s">
        <v>88</v>
      </c>
      <c r="B47" s="7" t="s">
        <v>89</v>
      </c>
      <c r="C47" s="7">
        <v>2</v>
      </c>
      <c r="D47" s="7">
        <v>101</v>
      </c>
      <c r="E47" s="7">
        <v>496.6</v>
      </c>
      <c r="F47" s="7" t="s">
        <v>28</v>
      </c>
      <c r="G47" s="8">
        <v>489</v>
      </c>
      <c r="H47" s="8">
        <v>1180</v>
      </c>
      <c r="I47" s="7">
        <v>4</v>
      </c>
      <c r="J47" s="7">
        <v>7</v>
      </c>
      <c r="K47" s="7"/>
      <c r="L47" s="7"/>
      <c r="M47" s="8"/>
      <c r="N47" s="10"/>
      <c r="O47" s="7"/>
      <c r="P47" s="7"/>
    </row>
    <row r="48" spans="1:16" ht="30.6" customHeight="1">
      <c r="A48" s="6" t="s">
        <v>90</v>
      </c>
      <c r="B48" s="7" t="s">
        <v>91</v>
      </c>
      <c r="C48" s="7">
        <v>2</v>
      </c>
      <c r="D48" s="7">
        <v>40</v>
      </c>
      <c r="E48" s="7">
        <v>302.5</v>
      </c>
      <c r="F48" s="7" t="s">
        <v>28</v>
      </c>
      <c r="G48" s="8">
        <v>304</v>
      </c>
      <c r="H48" s="8"/>
      <c r="I48" s="7"/>
      <c r="J48" s="7"/>
      <c r="K48" s="7"/>
      <c r="L48" s="7"/>
      <c r="M48" s="8"/>
      <c r="N48" s="10"/>
      <c r="O48" s="7"/>
      <c r="P48" s="7"/>
    </row>
    <row r="49" spans="1:16" ht="30.6" customHeight="1">
      <c r="A49" s="6" t="s">
        <v>92</v>
      </c>
      <c r="B49" s="7" t="s">
        <v>93</v>
      </c>
      <c r="C49" s="7">
        <v>2</v>
      </c>
      <c r="D49" s="7">
        <v>114</v>
      </c>
      <c r="E49" s="7">
        <v>621.29999999999995</v>
      </c>
      <c r="F49" s="7" t="s">
        <v>28</v>
      </c>
      <c r="G49" s="8">
        <v>606</v>
      </c>
      <c r="H49" s="8">
        <v>1610</v>
      </c>
      <c r="I49" s="7">
        <v>5</v>
      </c>
      <c r="J49" s="7">
        <v>5</v>
      </c>
      <c r="K49" s="7"/>
      <c r="L49" s="7"/>
      <c r="M49" s="8"/>
      <c r="N49" s="10"/>
      <c r="O49" s="7"/>
      <c r="P49" s="7"/>
    </row>
    <row r="50" spans="1:16" ht="30.6" customHeight="1">
      <c r="A50" s="6" t="s">
        <v>94</v>
      </c>
      <c r="B50" s="7" t="s">
        <v>95</v>
      </c>
      <c r="C50" s="7">
        <v>2</v>
      </c>
      <c r="D50" s="7">
        <v>9</v>
      </c>
      <c r="E50" s="7">
        <v>621.79999999999995</v>
      </c>
      <c r="F50" s="7" t="s">
        <v>28</v>
      </c>
      <c r="G50" s="8">
        <v>616</v>
      </c>
      <c r="H50" s="8">
        <v>1475</v>
      </c>
      <c r="I50" s="7">
        <v>5</v>
      </c>
      <c r="J50" s="7">
        <v>15</v>
      </c>
      <c r="K50" s="7"/>
      <c r="L50" s="7"/>
      <c r="M50" s="8"/>
      <c r="N50" s="10"/>
      <c r="O50" s="7"/>
      <c r="P50" s="7"/>
    </row>
    <row r="51" spans="1:16" ht="30.6" customHeight="1">
      <c r="A51" s="6" t="s">
        <v>94</v>
      </c>
      <c r="B51" s="7"/>
      <c r="C51" s="7">
        <v>2</v>
      </c>
      <c r="D51" s="7">
        <v>63</v>
      </c>
      <c r="E51" s="7">
        <v>394.6</v>
      </c>
      <c r="F51" s="7" t="s">
        <v>28</v>
      </c>
      <c r="G51" s="8">
        <v>388</v>
      </c>
      <c r="H51" s="8"/>
      <c r="I51" s="7"/>
      <c r="J51" s="7"/>
      <c r="K51" s="7"/>
      <c r="L51" s="7"/>
      <c r="M51" s="8"/>
      <c r="N51" s="10"/>
      <c r="O51" s="7"/>
      <c r="P51" s="7"/>
    </row>
    <row r="52" spans="1:16" ht="30.6" customHeight="1">
      <c r="A52" s="6" t="s">
        <v>96</v>
      </c>
      <c r="B52" s="7"/>
      <c r="C52" s="7">
        <v>2</v>
      </c>
      <c r="D52" s="7">
        <v>266</v>
      </c>
      <c r="E52" s="7">
        <v>300</v>
      </c>
      <c r="F52" s="7" t="s">
        <v>28</v>
      </c>
      <c r="G52" s="8">
        <v>295</v>
      </c>
      <c r="H52" s="8">
        <v>295</v>
      </c>
      <c r="I52" s="7">
        <v>1</v>
      </c>
      <c r="J52" s="7">
        <v>4</v>
      </c>
      <c r="K52" s="7"/>
      <c r="L52" s="7"/>
      <c r="M52" s="8"/>
      <c r="N52" s="10"/>
      <c r="O52" s="7"/>
      <c r="P52" s="7"/>
    </row>
    <row r="53" spans="1:16" ht="30.6" customHeight="1">
      <c r="A53" s="6" t="s">
        <v>97</v>
      </c>
      <c r="B53" s="7" t="s">
        <v>42</v>
      </c>
      <c r="C53" s="7">
        <v>2</v>
      </c>
      <c r="D53" s="7">
        <v>280</v>
      </c>
      <c r="E53" s="7">
        <v>471.8</v>
      </c>
      <c r="F53" s="7" t="s">
        <v>28</v>
      </c>
      <c r="G53" s="8">
        <v>471</v>
      </c>
      <c r="H53" s="8">
        <v>1368</v>
      </c>
      <c r="I53" s="7">
        <v>4</v>
      </c>
      <c r="J53" s="7">
        <v>11</v>
      </c>
      <c r="K53" s="7"/>
      <c r="L53" s="7"/>
      <c r="M53" s="8"/>
      <c r="N53" s="10"/>
      <c r="O53" s="7"/>
      <c r="P53" s="7"/>
    </row>
    <row r="54" spans="1:16" ht="30.6" customHeight="1">
      <c r="A54" s="6" t="s">
        <v>98</v>
      </c>
      <c r="B54" s="7"/>
      <c r="C54" s="7">
        <v>2</v>
      </c>
      <c r="D54" s="7">
        <v>227</v>
      </c>
      <c r="E54" s="7">
        <v>626.79999999999995</v>
      </c>
      <c r="F54" s="7" t="s">
        <v>28</v>
      </c>
      <c r="G54" s="8">
        <v>616</v>
      </c>
      <c r="H54" s="8">
        <v>616</v>
      </c>
      <c r="I54" s="7">
        <v>2</v>
      </c>
      <c r="J54" s="7">
        <v>5</v>
      </c>
      <c r="K54" s="7"/>
      <c r="L54" s="7"/>
      <c r="M54" s="8"/>
      <c r="N54" s="10"/>
      <c r="O54" s="7"/>
      <c r="P54" s="7"/>
    </row>
    <row r="55" spans="1:16" ht="30.6" customHeight="1">
      <c r="A55" s="6" t="s">
        <v>99</v>
      </c>
      <c r="B55" s="7" t="s">
        <v>42</v>
      </c>
      <c r="C55" s="7">
        <v>2</v>
      </c>
      <c r="D55" s="7">
        <v>279</v>
      </c>
      <c r="E55" s="7">
        <v>826.4</v>
      </c>
      <c r="F55" s="7" t="s">
        <v>28</v>
      </c>
      <c r="G55" s="8">
        <v>825</v>
      </c>
      <c r="H55" s="8">
        <v>2174</v>
      </c>
      <c r="I55" s="7">
        <v>7</v>
      </c>
      <c r="J55" s="7">
        <v>27</v>
      </c>
      <c r="K55" s="7"/>
      <c r="L55" s="7"/>
      <c r="M55" s="8"/>
      <c r="N55" s="10"/>
      <c r="O55" s="7"/>
      <c r="P55" s="7"/>
    </row>
    <row r="56" spans="1:16" ht="30.6" customHeight="1">
      <c r="A56" s="6" t="s">
        <v>100</v>
      </c>
      <c r="B56" s="7" t="s">
        <v>33</v>
      </c>
      <c r="C56" s="7">
        <v>2</v>
      </c>
      <c r="D56" s="7">
        <v>191</v>
      </c>
      <c r="E56" s="7">
        <v>587.9</v>
      </c>
      <c r="F56" s="7" t="s">
        <v>28</v>
      </c>
      <c r="G56" s="8">
        <v>574</v>
      </c>
      <c r="H56" s="8">
        <v>960</v>
      </c>
      <c r="I56" s="7">
        <v>3</v>
      </c>
      <c r="J56" s="7">
        <v>14</v>
      </c>
      <c r="K56" s="7"/>
      <c r="L56" s="7"/>
      <c r="M56" s="8"/>
      <c r="N56" s="10"/>
      <c r="O56" s="7"/>
      <c r="P56" s="7"/>
    </row>
    <row r="57" spans="1:16" ht="30.6" customHeight="1">
      <c r="A57" s="6" t="s">
        <v>101</v>
      </c>
      <c r="B57" s="7" t="s">
        <v>42</v>
      </c>
      <c r="C57" s="7">
        <v>2</v>
      </c>
      <c r="D57" s="7">
        <v>276</v>
      </c>
      <c r="E57" s="7">
        <v>471.4</v>
      </c>
      <c r="F57" s="7" t="s">
        <v>28</v>
      </c>
      <c r="G57" s="8">
        <v>471</v>
      </c>
      <c r="H57" s="8">
        <v>1368</v>
      </c>
      <c r="I57" s="7">
        <v>4</v>
      </c>
      <c r="J57" s="7">
        <v>12</v>
      </c>
      <c r="K57" s="7"/>
      <c r="L57" s="7"/>
      <c r="M57" s="8"/>
      <c r="N57" s="10"/>
      <c r="O57" s="7"/>
      <c r="P57" s="7"/>
    </row>
    <row r="58" spans="1:16" ht="30.6" customHeight="1">
      <c r="A58" s="6" t="s">
        <v>102</v>
      </c>
      <c r="B58" s="7"/>
      <c r="C58" s="7">
        <v>2</v>
      </c>
      <c r="D58" s="7">
        <v>288</v>
      </c>
      <c r="E58" s="7">
        <v>600</v>
      </c>
      <c r="F58" s="7" t="s">
        <v>28</v>
      </c>
      <c r="G58" s="8">
        <v>684</v>
      </c>
      <c r="H58" s="8">
        <v>684</v>
      </c>
      <c r="I58" s="7">
        <v>2.2999999999999998</v>
      </c>
      <c r="J58" s="7">
        <v>6</v>
      </c>
      <c r="K58" s="7"/>
      <c r="L58" s="7"/>
      <c r="M58" s="8"/>
      <c r="N58" s="10"/>
      <c r="O58" s="7"/>
      <c r="P58" s="7"/>
    </row>
    <row r="59" spans="1:16" ht="30.6" customHeight="1">
      <c r="A59" s="6" t="s">
        <v>103</v>
      </c>
      <c r="B59" s="7" t="s">
        <v>42</v>
      </c>
      <c r="C59" s="7">
        <v>2</v>
      </c>
      <c r="D59" s="7">
        <v>305</v>
      </c>
      <c r="E59" s="7">
        <v>475.9</v>
      </c>
      <c r="F59" s="7" t="s">
        <v>28</v>
      </c>
      <c r="G59" s="8">
        <v>471</v>
      </c>
      <c r="H59" s="8">
        <v>1368</v>
      </c>
      <c r="I59" s="7">
        <v>4</v>
      </c>
      <c r="J59" s="7">
        <v>10</v>
      </c>
      <c r="K59" s="7"/>
      <c r="L59" s="7"/>
      <c r="M59" s="8"/>
      <c r="N59" s="10"/>
      <c r="O59" s="7"/>
      <c r="P59" s="7"/>
    </row>
    <row r="60" spans="1:16" ht="30.6" customHeight="1">
      <c r="A60" s="6" t="s">
        <v>104</v>
      </c>
      <c r="B60" s="7" t="s">
        <v>33</v>
      </c>
      <c r="C60" s="7">
        <v>2</v>
      </c>
      <c r="D60" s="7">
        <v>158</v>
      </c>
      <c r="E60" s="7">
        <v>356.9</v>
      </c>
      <c r="F60" s="7" t="s">
        <v>28</v>
      </c>
      <c r="G60" s="8">
        <v>342</v>
      </c>
      <c r="H60" s="8">
        <v>688</v>
      </c>
      <c r="I60" s="7">
        <v>2.2999999999999998</v>
      </c>
      <c r="J60" s="7">
        <v>5</v>
      </c>
      <c r="K60" s="7"/>
      <c r="L60" s="7"/>
      <c r="M60" s="8"/>
      <c r="N60" s="10"/>
      <c r="O60" s="7"/>
      <c r="P60" s="7"/>
    </row>
    <row r="61" spans="1:16" ht="30.6" customHeight="1">
      <c r="A61" s="6" t="s">
        <v>104</v>
      </c>
      <c r="B61" s="7"/>
      <c r="C61" s="7">
        <v>2</v>
      </c>
      <c r="D61" s="7">
        <v>273</v>
      </c>
      <c r="E61" s="7">
        <v>348</v>
      </c>
      <c r="F61" s="7" t="s">
        <v>28</v>
      </c>
      <c r="G61" s="8">
        <v>346</v>
      </c>
      <c r="H61" s="8"/>
      <c r="I61" s="7"/>
      <c r="J61" s="7"/>
      <c r="K61" s="7"/>
      <c r="L61" s="7"/>
      <c r="M61" s="8"/>
      <c r="N61" s="10"/>
      <c r="O61" s="7"/>
      <c r="P61" s="7"/>
    </row>
    <row r="62" spans="1:16" ht="30.6" customHeight="1">
      <c r="A62" s="6" t="s">
        <v>105</v>
      </c>
      <c r="B62" s="7" t="s">
        <v>106</v>
      </c>
      <c r="C62" s="7">
        <v>2</v>
      </c>
      <c r="D62" s="7">
        <v>28</v>
      </c>
      <c r="E62" s="7">
        <v>599.4</v>
      </c>
      <c r="F62" s="7" t="s">
        <v>28</v>
      </c>
      <c r="G62" s="8">
        <v>616</v>
      </c>
      <c r="H62" s="8">
        <v>1479</v>
      </c>
      <c r="I62" s="7">
        <v>5</v>
      </c>
      <c r="J62" s="7">
        <v>14</v>
      </c>
      <c r="K62" s="7"/>
      <c r="L62" s="7"/>
      <c r="M62" s="8"/>
      <c r="N62" s="10"/>
      <c r="O62" s="7"/>
      <c r="P62" s="7"/>
    </row>
    <row r="63" spans="1:16" ht="30.6" customHeight="1">
      <c r="A63" s="6" t="s">
        <v>107</v>
      </c>
      <c r="B63" s="7" t="s">
        <v>33</v>
      </c>
      <c r="C63" s="7">
        <v>2</v>
      </c>
      <c r="D63" s="7">
        <v>144</v>
      </c>
      <c r="E63" s="7">
        <v>718.4</v>
      </c>
      <c r="F63" s="7" t="s">
        <v>28</v>
      </c>
      <c r="G63" s="8">
        <v>718</v>
      </c>
      <c r="H63" s="8">
        <v>1060</v>
      </c>
      <c r="I63" s="7">
        <v>3</v>
      </c>
      <c r="J63" s="7">
        <v>4</v>
      </c>
      <c r="K63" s="7"/>
      <c r="L63" s="7"/>
      <c r="M63" s="8"/>
      <c r="N63" s="10"/>
      <c r="O63" s="7"/>
      <c r="P63" s="7"/>
    </row>
    <row r="64" spans="1:16" ht="30.6" customHeight="1">
      <c r="A64" s="6" t="s">
        <v>108</v>
      </c>
      <c r="B64" s="7" t="s">
        <v>109</v>
      </c>
      <c r="C64" s="7">
        <v>2</v>
      </c>
      <c r="D64" s="7">
        <v>142</v>
      </c>
      <c r="E64" s="7">
        <v>565.70000000000005</v>
      </c>
      <c r="F64" s="7" t="s">
        <v>28</v>
      </c>
      <c r="G64" s="8">
        <v>565</v>
      </c>
      <c r="H64" s="8">
        <v>931</v>
      </c>
      <c r="I64" s="7">
        <v>3</v>
      </c>
      <c r="J64" s="7">
        <v>4</v>
      </c>
      <c r="K64" s="7"/>
      <c r="L64" s="7"/>
      <c r="M64" s="8"/>
      <c r="N64" s="10"/>
      <c r="O64" s="7"/>
      <c r="P64" s="7"/>
    </row>
    <row r="65" spans="1:16" ht="30.6" customHeight="1">
      <c r="A65" s="6" t="s">
        <v>108</v>
      </c>
      <c r="B65" s="7"/>
      <c r="C65" s="7">
        <v>2</v>
      </c>
      <c r="D65" s="7">
        <v>218</v>
      </c>
      <c r="E65" s="7">
        <v>372.6</v>
      </c>
      <c r="F65" s="7" t="s">
        <v>28</v>
      </c>
      <c r="G65" s="8">
        <v>366</v>
      </c>
      <c r="H65" s="8"/>
      <c r="I65" s="7"/>
      <c r="J65" s="7"/>
      <c r="K65" s="7"/>
      <c r="L65" s="7"/>
      <c r="M65" s="8"/>
      <c r="N65" s="10"/>
      <c r="O65" s="7"/>
      <c r="P65" s="7"/>
    </row>
    <row r="66" spans="1:16" ht="30.6" customHeight="1">
      <c r="A66" s="6" t="s">
        <v>110</v>
      </c>
      <c r="B66" s="7" t="s">
        <v>33</v>
      </c>
      <c r="C66" s="7">
        <v>2</v>
      </c>
      <c r="D66" s="7">
        <v>169</v>
      </c>
      <c r="E66" s="7">
        <v>346.7</v>
      </c>
      <c r="F66" s="7" t="s">
        <v>28</v>
      </c>
      <c r="G66" s="8">
        <v>342</v>
      </c>
      <c r="H66" s="8">
        <v>684</v>
      </c>
      <c r="I66" s="7">
        <v>2.2999999999999998</v>
      </c>
      <c r="J66" s="7">
        <v>2</v>
      </c>
      <c r="K66" s="7"/>
      <c r="L66" s="7"/>
      <c r="M66" s="8"/>
      <c r="N66" s="10"/>
      <c r="O66" s="7"/>
      <c r="P66" s="7"/>
    </row>
    <row r="67" spans="1:16" ht="30.6" customHeight="1">
      <c r="A67" s="6" t="s">
        <v>111</v>
      </c>
      <c r="B67" s="7" t="s">
        <v>42</v>
      </c>
      <c r="C67" s="7">
        <v>2</v>
      </c>
      <c r="D67" s="7">
        <v>21</v>
      </c>
      <c r="E67" s="7">
        <v>365.5</v>
      </c>
      <c r="F67" s="7" t="s">
        <v>28</v>
      </c>
      <c r="G67" s="8">
        <v>366</v>
      </c>
      <c r="H67" s="8">
        <v>1180</v>
      </c>
      <c r="I67" s="7">
        <v>4</v>
      </c>
      <c r="J67" s="7">
        <v>3</v>
      </c>
      <c r="K67" s="7"/>
      <c r="L67" s="7"/>
      <c r="M67" s="8"/>
      <c r="N67" s="10"/>
      <c r="O67" s="7"/>
      <c r="P67" s="7"/>
    </row>
    <row r="68" spans="1:16" ht="30.6" customHeight="1">
      <c r="A68" s="6" t="s">
        <v>111</v>
      </c>
      <c r="B68" s="7"/>
      <c r="C68" s="7">
        <v>2</v>
      </c>
      <c r="D68" s="7">
        <v>143</v>
      </c>
      <c r="E68" s="7">
        <v>518.9</v>
      </c>
      <c r="F68" s="7" t="s">
        <v>28</v>
      </c>
      <c r="G68" s="8">
        <v>518</v>
      </c>
      <c r="H68" s="8"/>
      <c r="I68" s="7"/>
      <c r="J68" s="7"/>
      <c r="K68" s="7"/>
      <c r="L68" s="7"/>
      <c r="M68" s="8"/>
      <c r="N68" s="10"/>
      <c r="O68" s="7"/>
      <c r="P68" s="7"/>
    </row>
    <row r="69" spans="1:16" ht="30.6" customHeight="1">
      <c r="A69" s="6" t="s">
        <v>112</v>
      </c>
      <c r="B69" s="7"/>
      <c r="C69" s="7">
        <v>2</v>
      </c>
      <c r="D69" s="7">
        <v>267</v>
      </c>
      <c r="E69" s="7">
        <v>338.8</v>
      </c>
      <c r="F69" s="7" t="s">
        <v>28</v>
      </c>
      <c r="G69" s="8">
        <v>332</v>
      </c>
      <c r="H69" s="8">
        <v>332</v>
      </c>
      <c r="I69" s="7">
        <v>1.1000000000000001</v>
      </c>
      <c r="J69" s="7">
        <v>5</v>
      </c>
      <c r="K69" s="7"/>
      <c r="L69" s="7"/>
      <c r="M69" s="8"/>
      <c r="N69" s="10"/>
      <c r="O69" s="7"/>
      <c r="P69" s="7"/>
    </row>
    <row r="70" spans="1:16" ht="30.6" customHeight="1">
      <c r="A70" s="6" t="s">
        <v>113</v>
      </c>
      <c r="B70" s="7"/>
      <c r="C70" s="7">
        <v>2</v>
      </c>
      <c r="D70" s="7">
        <v>125</v>
      </c>
      <c r="E70" s="7">
        <v>346.3</v>
      </c>
      <c r="F70" s="7" t="s">
        <v>28</v>
      </c>
      <c r="G70" s="8">
        <v>342</v>
      </c>
      <c r="H70" s="8">
        <v>684</v>
      </c>
      <c r="I70" s="7">
        <v>2.2999999999999998</v>
      </c>
      <c r="J70" s="7">
        <v>6</v>
      </c>
      <c r="K70" s="7"/>
      <c r="L70" s="7"/>
      <c r="M70" s="8"/>
      <c r="N70" s="10"/>
      <c r="O70" s="7"/>
      <c r="P70" s="7"/>
    </row>
    <row r="71" spans="1:16" ht="30.6" customHeight="1">
      <c r="A71" s="6" t="s">
        <v>114</v>
      </c>
      <c r="B71" s="7" t="s">
        <v>33</v>
      </c>
      <c r="C71" s="7">
        <v>2</v>
      </c>
      <c r="D71" s="7">
        <v>208</v>
      </c>
      <c r="E71" s="7">
        <v>310.5</v>
      </c>
      <c r="F71" s="7" t="s">
        <v>28</v>
      </c>
      <c r="G71" s="8">
        <v>295</v>
      </c>
      <c r="H71" s="8">
        <v>590</v>
      </c>
      <c r="I71" s="7">
        <v>2</v>
      </c>
      <c r="J71" s="7">
        <v>1</v>
      </c>
      <c r="K71" s="7"/>
      <c r="L71" s="7"/>
      <c r="M71" s="8"/>
      <c r="N71" s="10"/>
      <c r="O71" s="7"/>
      <c r="P71" s="7"/>
    </row>
    <row r="72" spans="1:16" ht="30.6" customHeight="1">
      <c r="A72" s="6" t="s">
        <v>115</v>
      </c>
      <c r="B72" s="7" t="s">
        <v>42</v>
      </c>
      <c r="C72" s="7">
        <v>2</v>
      </c>
      <c r="D72" s="7">
        <v>312</v>
      </c>
      <c r="E72" s="7">
        <v>1122.0999999999999</v>
      </c>
      <c r="F72" s="7" t="s">
        <v>28</v>
      </c>
      <c r="G72" s="8">
        <v>1090</v>
      </c>
      <c r="H72" s="8">
        <v>2958</v>
      </c>
      <c r="I72" s="7">
        <v>9</v>
      </c>
      <c r="J72" s="7">
        <v>36</v>
      </c>
      <c r="K72" s="7"/>
      <c r="L72" s="7"/>
      <c r="M72" s="8"/>
      <c r="N72" s="10"/>
      <c r="O72" s="7"/>
      <c r="P72" s="7"/>
    </row>
    <row r="73" spans="1:16" ht="30.6" customHeight="1">
      <c r="A73" s="6" t="s">
        <v>116</v>
      </c>
      <c r="B73" s="7"/>
      <c r="C73" s="7">
        <v>2</v>
      </c>
      <c r="D73" s="7">
        <v>180</v>
      </c>
      <c r="E73" s="7">
        <v>298.10000000000002</v>
      </c>
      <c r="F73" s="7" t="s">
        <v>28</v>
      </c>
      <c r="G73" s="8">
        <v>295</v>
      </c>
      <c r="H73" s="8"/>
      <c r="I73" s="7"/>
      <c r="J73" s="7"/>
      <c r="K73" s="7"/>
      <c r="L73" s="7"/>
      <c r="M73" s="8"/>
      <c r="N73" s="10"/>
      <c r="O73" s="7"/>
      <c r="P73" s="7"/>
    </row>
    <row r="74" spans="1:16" ht="30.6" customHeight="1">
      <c r="A74" s="6" t="s">
        <v>117</v>
      </c>
      <c r="B74" s="7" t="s">
        <v>33</v>
      </c>
      <c r="C74" s="7">
        <v>2</v>
      </c>
      <c r="D74" s="7">
        <v>170</v>
      </c>
      <c r="E74" s="7">
        <v>347.9</v>
      </c>
      <c r="F74" s="7" t="s">
        <v>28</v>
      </c>
      <c r="G74" s="8">
        <v>342</v>
      </c>
      <c r="H74" s="8">
        <v>637</v>
      </c>
      <c r="I74" s="7">
        <v>2.1</v>
      </c>
      <c r="J74" s="7">
        <v>5</v>
      </c>
      <c r="K74" s="7"/>
      <c r="L74" s="7"/>
      <c r="M74" s="8"/>
      <c r="N74" s="10"/>
      <c r="O74" s="7"/>
      <c r="P74" s="7"/>
    </row>
    <row r="75" spans="1:16" ht="30.6" customHeight="1">
      <c r="A75" s="6" t="s">
        <v>118</v>
      </c>
      <c r="B75" s="7" t="s">
        <v>33</v>
      </c>
      <c r="C75" s="7">
        <v>2</v>
      </c>
      <c r="D75" s="7">
        <v>302</v>
      </c>
      <c r="E75" s="7">
        <v>325</v>
      </c>
      <c r="F75" s="7" t="s">
        <v>28</v>
      </c>
      <c r="G75" s="8">
        <v>317</v>
      </c>
      <c r="H75" s="8">
        <v>1026</v>
      </c>
      <c r="I75" s="7">
        <v>3.4</v>
      </c>
      <c r="J75" s="7">
        <v>5</v>
      </c>
      <c r="K75" s="7"/>
      <c r="L75" s="7"/>
      <c r="M75" s="8"/>
      <c r="N75" s="10"/>
      <c r="O75" s="7"/>
      <c r="P75" s="7"/>
    </row>
    <row r="76" spans="1:16" ht="30.6" customHeight="1">
      <c r="A76" s="6" t="s">
        <v>119</v>
      </c>
      <c r="B76" s="7" t="s">
        <v>33</v>
      </c>
      <c r="C76" s="7">
        <v>2</v>
      </c>
      <c r="D76" s="7">
        <v>165</v>
      </c>
      <c r="E76" s="7">
        <v>379.2</v>
      </c>
      <c r="F76" s="7" t="s">
        <v>28</v>
      </c>
      <c r="G76" s="8">
        <v>372</v>
      </c>
      <c r="H76" s="8">
        <v>714</v>
      </c>
      <c r="I76" s="7">
        <v>2.4</v>
      </c>
      <c r="J76" s="7">
        <v>5</v>
      </c>
      <c r="K76" s="7"/>
      <c r="L76" s="7"/>
      <c r="M76" s="8"/>
      <c r="N76" s="10"/>
      <c r="O76" s="7"/>
      <c r="P76" s="7"/>
    </row>
    <row r="77" spans="1:16" ht="30.6" customHeight="1">
      <c r="A77" s="6" t="s">
        <v>119</v>
      </c>
      <c r="B77" s="7"/>
      <c r="C77" s="7">
        <v>2</v>
      </c>
      <c r="D77" s="7">
        <v>270</v>
      </c>
      <c r="E77" s="7">
        <v>341.3</v>
      </c>
      <c r="F77" s="7" t="s">
        <v>28</v>
      </c>
      <c r="G77" s="8">
        <v>342</v>
      </c>
      <c r="H77" s="8"/>
      <c r="I77" s="7"/>
      <c r="J77" s="7"/>
      <c r="K77" s="7"/>
      <c r="L77" s="7"/>
      <c r="M77" s="8"/>
      <c r="N77" s="10"/>
      <c r="O77" s="7"/>
      <c r="P77" s="7"/>
    </row>
    <row r="78" spans="1:16" ht="30.6" customHeight="1">
      <c r="A78" s="6" t="s">
        <v>120</v>
      </c>
      <c r="B78" s="7" t="s">
        <v>33</v>
      </c>
      <c r="C78" s="7">
        <v>2</v>
      </c>
      <c r="D78" s="7">
        <v>281</v>
      </c>
      <c r="E78" s="7">
        <v>301.10000000000002</v>
      </c>
      <c r="F78" s="7" t="s">
        <v>28</v>
      </c>
      <c r="G78" s="8">
        <v>301</v>
      </c>
      <c r="H78" s="8">
        <v>601</v>
      </c>
      <c r="I78" s="7">
        <v>2</v>
      </c>
      <c r="J78" s="7">
        <v>6</v>
      </c>
      <c r="K78" s="7"/>
      <c r="L78" s="7"/>
      <c r="M78" s="8"/>
      <c r="N78" s="10"/>
      <c r="O78" s="7"/>
      <c r="P78" s="7"/>
    </row>
    <row r="79" spans="1:16" ht="30.6" customHeight="1">
      <c r="A79" s="6" t="s">
        <v>121</v>
      </c>
      <c r="B79" s="7" t="s">
        <v>33</v>
      </c>
      <c r="C79" s="7">
        <v>2</v>
      </c>
      <c r="D79" s="7">
        <v>171</v>
      </c>
      <c r="E79" s="7">
        <v>298.60000000000002</v>
      </c>
      <c r="F79" s="7" t="s">
        <v>28</v>
      </c>
      <c r="G79" s="8">
        <v>295</v>
      </c>
      <c r="H79" s="8">
        <v>590</v>
      </c>
      <c r="I79" s="7">
        <v>2</v>
      </c>
      <c r="J79" s="7">
        <v>2</v>
      </c>
      <c r="K79" s="7"/>
      <c r="L79" s="7"/>
      <c r="M79" s="8"/>
      <c r="N79" s="10"/>
      <c r="O79" s="7"/>
      <c r="P79" s="7"/>
    </row>
    <row r="80" spans="1:16" ht="30.6" customHeight="1">
      <c r="A80" s="6" t="s">
        <v>122</v>
      </c>
      <c r="B80" s="7"/>
      <c r="C80" s="7">
        <v>2</v>
      </c>
      <c r="D80" s="7">
        <v>137</v>
      </c>
      <c r="E80" s="7">
        <v>347.6</v>
      </c>
      <c r="F80" s="7" t="s">
        <v>28</v>
      </c>
      <c r="G80" s="8">
        <v>342</v>
      </c>
      <c r="H80" s="8">
        <v>684</v>
      </c>
      <c r="I80" s="7">
        <v>2.2999999999999998</v>
      </c>
      <c r="J80" s="7">
        <v>3</v>
      </c>
      <c r="K80" s="7"/>
      <c r="L80" s="7"/>
      <c r="M80" s="8"/>
      <c r="N80" s="10"/>
      <c r="O80" s="7"/>
      <c r="P80" s="7"/>
    </row>
    <row r="81" spans="1:16" ht="30.6" customHeight="1">
      <c r="A81" s="6" t="s">
        <v>123</v>
      </c>
      <c r="B81" s="7" t="s">
        <v>124</v>
      </c>
      <c r="C81" s="7">
        <v>2</v>
      </c>
      <c r="D81" s="7">
        <v>43</v>
      </c>
      <c r="E81" s="7">
        <v>612.9</v>
      </c>
      <c r="F81" s="7" t="s">
        <v>28</v>
      </c>
      <c r="G81" s="8">
        <v>616</v>
      </c>
      <c r="H81" s="8">
        <v>1710</v>
      </c>
      <c r="I81" s="7">
        <v>5</v>
      </c>
      <c r="J81" s="7">
        <v>17</v>
      </c>
      <c r="K81" s="7"/>
      <c r="L81" s="7"/>
      <c r="M81" s="8"/>
      <c r="N81" s="10"/>
      <c r="O81" s="7"/>
      <c r="P81" s="7"/>
    </row>
    <row r="82" spans="1:16" ht="30.6" customHeight="1">
      <c r="A82" s="6" t="s">
        <v>125</v>
      </c>
      <c r="B82" s="7" t="s">
        <v>126</v>
      </c>
      <c r="C82" s="7">
        <v>2</v>
      </c>
      <c r="D82" s="7">
        <v>104</v>
      </c>
      <c r="E82" s="7">
        <v>866.2</v>
      </c>
      <c r="F82" s="7" t="s">
        <v>28</v>
      </c>
      <c r="G82" s="8">
        <v>856</v>
      </c>
      <c r="H82" s="8">
        <v>2.1059999999999999</v>
      </c>
      <c r="I82" s="7">
        <v>7.1</v>
      </c>
      <c r="J82" s="7">
        <v>13</v>
      </c>
      <c r="K82" s="7"/>
      <c r="L82" s="7"/>
      <c r="M82" s="8"/>
      <c r="N82" s="10"/>
      <c r="O82" s="7"/>
      <c r="P82" s="7"/>
    </row>
    <row r="83" spans="1:16" ht="30.6" customHeight="1">
      <c r="A83" s="6" t="s">
        <v>127</v>
      </c>
      <c r="B83" s="7" t="s">
        <v>128</v>
      </c>
      <c r="C83" s="7">
        <v>2</v>
      </c>
      <c r="D83" s="7">
        <v>68</v>
      </c>
      <c r="E83" s="7">
        <v>464.6</v>
      </c>
      <c r="F83" s="7" t="s">
        <v>28</v>
      </c>
      <c r="G83" s="8">
        <v>489</v>
      </c>
      <c r="H83" s="8">
        <v>1359</v>
      </c>
      <c r="I83" s="7">
        <v>4.5999999999999996</v>
      </c>
      <c r="J83" s="7">
        <v>10</v>
      </c>
      <c r="K83" s="7"/>
      <c r="L83" s="7"/>
      <c r="M83" s="8"/>
      <c r="N83" s="10"/>
      <c r="O83" s="7"/>
      <c r="P83" s="7"/>
    </row>
    <row r="84" spans="1:16" ht="30.6" customHeight="1">
      <c r="A84" s="6" t="s">
        <v>129</v>
      </c>
      <c r="B84" s="7" t="s">
        <v>130</v>
      </c>
      <c r="C84" s="7">
        <v>2</v>
      </c>
      <c r="D84" s="7">
        <v>96</v>
      </c>
      <c r="E84" s="7">
        <v>799.3</v>
      </c>
      <c r="F84" s="7" t="s">
        <v>28</v>
      </c>
      <c r="G84" s="8">
        <v>784</v>
      </c>
      <c r="H84" s="8">
        <v>1838</v>
      </c>
      <c r="I84" s="7">
        <v>6</v>
      </c>
      <c r="J84" s="7">
        <v>8</v>
      </c>
      <c r="K84" s="7"/>
      <c r="L84" s="7"/>
      <c r="M84" s="8"/>
      <c r="N84" s="10"/>
      <c r="O84" s="7"/>
      <c r="P84" s="7"/>
    </row>
    <row r="85" spans="1:16" ht="30.6" customHeight="1">
      <c r="A85" s="6" t="s">
        <v>131</v>
      </c>
      <c r="B85" s="7" t="s">
        <v>33</v>
      </c>
      <c r="C85" s="7">
        <v>2</v>
      </c>
      <c r="D85" s="7">
        <v>277</v>
      </c>
      <c r="E85" s="7">
        <v>575.4</v>
      </c>
      <c r="F85" s="7" t="s">
        <v>28</v>
      </c>
      <c r="G85" s="8">
        <v>575</v>
      </c>
      <c r="H85" s="8">
        <v>1475</v>
      </c>
      <c r="I85" s="7">
        <v>5</v>
      </c>
      <c r="J85" s="7">
        <v>14</v>
      </c>
      <c r="K85" s="7"/>
      <c r="L85" s="7"/>
      <c r="M85" s="8"/>
      <c r="N85" s="10"/>
      <c r="O85" s="7"/>
      <c r="P85" s="7"/>
    </row>
    <row r="86" spans="1:16" ht="30.6" customHeight="1">
      <c r="A86" s="6" t="s">
        <v>132</v>
      </c>
      <c r="B86" s="7" t="s">
        <v>133</v>
      </c>
      <c r="C86" s="7">
        <v>2</v>
      </c>
      <c r="D86" s="7">
        <v>16</v>
      </c>
      <c r="E86" s="7">
        <v>488.9</v>
      </c>
      <c r="F86" s="7" t="s">
        <v>28</v>
      </c>
      <c r="G86" s="8">
        <v>503</v>
      </c>
      <c r="H86" s="8">
        <v>1914</v>
      </c>
      <c r="I86" s="7">
        <v>6.49</v>
      </c>
      <c r="J86" s="7">
        <v>9</v>
      </c>
      <c r="K86" s="7"/>
      <c r="L86" s="7"/>
      <c r="M86" s="8"/>
      <c r="N86" s="10"/>
      <c r="O86" s="7"/>
      <c r="P86" s="7"/>
    </row>
    <row r="87" spans="1:16" ht="30.6" customHeight="1">
      <c r="A87" s="6" t="s">
        <v>134</v>
      </c>
      <c r="B87" s="7" t="s">
        <v>135</v>
      </c>
      <c r="C87" s="7">
        <v>2</v>
      </c>
      <c r="D87" s="7">
        <v>29</v>
      </c>
      <c r="E87" s="7">
        <v>605.1</v>
      </c>
      <c r="F87" s="7" t="s">
        <v>28</v>
      </c>
      <c r="G87" s="8">
        <v>616</v>
      </c>
      <c r="H87" s="8">
        <v>1710</v>
      </c>
      <c r="I87" s="7">
        <v>5</v>
      </c>
      <c r="J87" s="7">
        <v>13</v>
      </c>
      <c r="K87" s="7"/>
      <c r="L87" s="7"/>
      <c r="M87" s="8"/>
      <c r="N87" s="10"/>
      <c r="O87" s="7"/>
      <c r="P87" s="7"/>
    </row>
    <row r="88" spans="1:16" ht="30.6" customHeight="1">
      <c r="A88" s="6" t="s">
        <v>136</v>
      </c>
      <c r="B88" s="7" t="s">
        <v>33</v>
      </c>
      <c r="C88" s="7">
        <v>2</v>
      </c>
      <c r="D88" s="7">
        <v>134</v>
      </c>
      <c r="E88" s="7">
        <v>346.7</v>
      </c>
      <c r="F88" s="7" t="s">
        <v>28</v>
      </c>
      <c r="G88" s="8">
        <v>342</v>
      </c>
      <c r="H88" s="8">
        <v>684</v>
      </c>
      <c r="I88" s="7">
        <v>2.2999999999999998</v>
      </c>
      <c r="J88" s="7">
        <v>4</v>
      </c>
      <c r="K88" s="7"/>
      <c r="L88" s="7"/>
      <c r="M88" s="8"/>
      <c r="N88" s="10"/>
      <c r="O88" s="7"/>
      <c r="P88" s="7"/>
    </row>
    <row r="89" spans="1:16" ht="30.6" customHeight="1">
      <c r="A89" s="6" t="s">
        <v>137</v>
      </c>
      <c r="B89" s="7" t="s">
        <v>138</v>
      </c>
      <c r="C89" s="7">
        <v>2</v>
      </c>
      <c r="D89" s="7">
        <v>174</v>
      </c>
      <c r="E89" s="7">
        <v>624.29999999999995</v>
      </c>
      <c r="F89" s="7" t="s">
        <v>28</v>
      </c>
      <c r="G89" s="8">
        <v>616</v>
      </c>
      <c r="H89" s="8">
        <v>1014</v>
      </c>
      <c r="I89" s="7">
        <v>3.4</v>
      </c>
      <c r="J89" s="7">
        <v>9</v>
      </c>
      <c r="K89" s="7"/>
      <c r="L89" s="7"/>
      <c r="M89" s="8"/>
      <c r="N89" s="10"/>
      <c r="O89" s="7"/>
      <c r="P89" s="7"/>
    </row>
    <row r="90" spans="1:16" ht="30.6" customHeight="1">
      <c r="A90" s="6" t="s">
        <v>139</v>
      </c>
      <c r="B90" s="7" t="s">
        <v>33</v>
      </c>
      <c r="C90" s="7">
        <v>2</v>
      </c>
      <c r="D90" s="7">
        <v>177</v>
      </c>
      <c r="E90" s="7">
        <v>495.5</v>
      </c>
      <c r="F90" s="7" t="s">
        <v>28</v>
      </c>
      <c r="G90" s="8">
        <v>489</v>
      </c>
      <c r="H90" s="8">
        <v>800</v>
      </c>
      <c r="I90" s="7">
        <v>2.7</v>
      </c>
      <c r="J90" s="7">
        <v>10</v>
      </c>
      <c r="K90" s="7"/>
      <c r="L90" s="7"/>
      <c r="M90" s="8"/>
      <c r="N90" s="10"/>
      <c r="O90" s="7"/>
      <c r="P90" s="7"/>
    </row>
    <row r="91" spans="1:16" ht="30.6" customHeight="1">
      <c r="A91" s="6" t="s">
        <v>140</v>
      </c>
      <c r="B91" s="7" t="s">
        <v>141</v>
      </c>
      <c r="C91" s="7">
        <v>2</v>
      </c>
      <c r="D91" s="7">
        <v>34</v>
      </c>
      <c r="E91" s="7">
        <v>722.4</v>
      </c>
      <c r="F91" s="7" t="s">
        <v>28</v>
      </c>
      <c r="G91" s="8">
        <v>733</v>
      </c>
      <c r="H91" s="8">
        <v>1885</v>
      </c>
      <c r="I91" s="7">
        <v>6</v>
      </c>
      <c r="J91" s="7">
        <v>21</v>
      </c>
      <c r="K91" s="7"/>
      <c r="L91" s="7"/>
      <c r="M91" s="8"/>
      <c r="N91" s="10"/>
      <c r="O91" s="7"/>
      <c r="P91" s="7"/>
    </row>
    <row r="92" spans="1:16" ht="30.6" customHeight="1">
      <c r="A92" s="6" t="s">
        <v>142</v>
      </c>
      <c r="B92" s="7"/>
      <c r="C92" s="7">
        <v>2</v>
      </c>
      <c r="D92" s="7">
        <v>216</v>
      </c>
      <c r="E92" s="7">
        <v>493.2</v>
      </c>
      <c r="F92" s="7" t="s">
        <v>28</v>
      </c>
      <c r="G92" s="8">
        <v>489</v>
      </c>
      <c r="H92" s="8">
        <v>810</v>
      </c>
      <c r="I92" s="7">
        <v>2.7</v>
      </c>
      <c r="J92" s="7">
        <v>6</v>
      </c>
      <c r="K92" s="7"/>
      <c r="L92" s="7"/>
      <c r="M92" s="8"/>
      <c r="N92" s="10"/>
      <c r="O92" s="7"/>
      <c r="P92" s="7"/>
    </row>
    <row r="93" spans="1:16" ht="30.6" customHeight="1">
      <c r="A93" s="6" t="s">
        <v>143</v>
      </c>
      <c r="B93" s="7" t="s">
        <v>33</v>
      </c>
      <c r="C93" s="7">
        <v>2</v>
      </c>
      <c r="D93" s="7">
        <v>257</v>
      </c>
      <c r="E93" s="7">
        <v>619.70000000000005</v>
      </c>
      <c r="F93" s="7" t="s">
        <v>28</v>
      </c>
      <c r="G93" s="8">
        <v>616</v>
      </c>
      <c r="H93" s="8">
        <v>1004</v>
      </c>
      <c r="I93" s="7">
        <v>3.4</v>
      </c>
      <c r="J93" s="7">
        <v>14</v>
      </c>
      <c r="K93" s="7"/>
      <c r="L93" s="7"/>
      <c r="M93" s="8"/>
      <c r="N93" s="10"/>
      <c r="O93" s="7"/>
      <c r="P93" s="7"/>
    </row>
    <row r="94" spans="1:16" ht="30.6" customHeight="1">
      <c r="A94" s="6" t="s">
        <v>144</v>
      </c>
      <c r="B94" s="7" t="s">
        <v>33</v>
      </c>
      <c r="C94" s="7">
        <v>2</v>
      </c>
      <c r="D94" s="7">
        <v>224</v>
      </c>
      <c r="E94" s="7">
        <v>741.2</v>
      </c>
      <c r="F94" s="7" t="s">
        <v>28</v>
      </c>
      <c r="G94" s="8">
        <v>733</v>
      </c>
      <c r="H94" s="8">
        <v>1199</v>
      </c>
      <c r="I94" s="7">
        <v>4</v>
      </c>
      <c r="J94" s="7">
        <v>11</v>
      </c>
      <c r="K94" s="7"/>
      <c r="L94" s="7"/>
      <c r="M94" s="8"/>
      <c r="N94" s="10"/>
      <c r="O94" s="7"/>
      <c r="P94" s="7"/>
    </row>
    <row r="95" spans="1:16" ht="30.6" customHeight="1">
      <c r="A95" s="6" t="s">
        <v>145</v>
      </c>
      <c r="B95" s="7" t="s">
        <v>33</v>
      </c>
      <c r="C95" s="7">
        <v>2</v>
      </c>
      <c r="D95" s="7">
        <v>221</v>
      </c>
      <c r="E95" s="7">
        <v>627</v>
      </c>
      <c r="F95" s="7" t="s">
        <v>28</v>
      </c>
      <c r="G95" s="8">
        <v>616</v>
      </c>
      <c r="H95" s="8">
        <v>1005</v>
      </c>
      <c r="I95" s="7">
        <v>3.4</v>
      </c>
      <c r="J95" s="7">
        <v>14</v>
      </c>
      <c r="K95" s="7"/>
      <c r="L95" s="7"/>
      <c r="M95" s="8"/>
      <c r="N95" s="10"/>
      <c r="O95" s="7"/>
      <c r="P95" s="7"/>
    </row>
    <row r="96" spans="1:16" ht="30.6" customHeight="1">
      <c r="A96" s="6" t="s">
        <v>146</v>
      </c>
      <c r="B96" s="7" t="s">
        <v>147</v>
      </c>
      <c r="C96" s="7">
        <v>2</v>
      </c>
      <c r="D96" s="7">
        <v>19</v>
      </c>
      <c r="E96" s="7">
        <v>294.3</v>
      </c>
      <c r="F96" s="7" t="s">
        <v>28</v>
      </c>
      <c r="G96" s="8">
        <v>296</v>
      </c>
      <c r="H96" s="8">
        <v>888</v>
      </c>
      <c r="I96" s="7">
        <v>3</v>
      </c>
      <c r="J96" s="7">
        <v>8</v>
      </c>
      <c r="K96" s="7"/>
      <c r="L96" s="7"/>
      <c r="M96" s="8"/>
      <c r="N96" s="10"/>
      <c r="O96" s="7"/>
      <c r="P96" s="7"/>
    </row>
    <row r="97" spans="1:16" ht="30.6" customHeight="1">
      <c r="A97" s="6" t="s">
        <v>148</v>
      </c>
      <c r="B97" s="7" t="s">
        <v>33</v>
      </c>
      <c r="C97" s="7">
        <v>2</v>
      </c>
      <c r="D97" s="7">
        <v>168</v>
      </c>
      <c r="E97" s="7">
        <v>298.89999999999998</v>
      </c>
      <c r="F97" s="7" t="s">
        <v>28</v>
      </c>
      <c r="G97" s="8">
        <v>295</v>
      </c>
      <c r="H97" s="8">
        <v>590</v>
      </c>
      <c r="I97" s="7">
        <v>2</v>
      </c>
      <c r="J97" s="7">
        <v>4</v>
      </c>
      <c r="K97" s="7"/>
      <c r="L97" s="7"/>
      <c r="M97" s="8"/>
      <c r="N97" s="10"/>
      <c r="O97" s="7"/>
      <c r="P97" s="7"/>
    </row>
    <row r="98" spans="1:16" ht="30.6" customHeight="1">
      <c r="A98" s="6" t="s">
        <v>149</v>
      </c>
      <c r="B98" s="7" t="s">
        <v>150</v>
      </c>
      <c r="C98" s="7">
        <v>2</v>
      </c>
      <c r="D98" s="7">
        <v>112</v>
      </c>
      <c r="E98" s="7">
        <v>737.2</v>
      </c>
      <c r="F98" s="7" t="s">
        <v>28</v>
      </c>
      <c r="G98" s="8">
        <v>733</v>
      </c>
      <c r="H98" s="8">
        <v>1770</v>
      </c>
      <c r="I98" s="7">
        <v>6</v>
      </c>
      <c r="J98" s="7">
        <v>12</v>
      </c>
      <c r="K98" s="7"/>
      <c r="L98" s="7"/>
      <c r="M98" s="8"/>
      <c r="N98" s="10"/>
      <c r="O98" s="7"/>
      <c r="P98" s="7"/>
    </row>
    <row r="99" spans="1:16" ht="30.6" customHeight="1">
      <c r="A99" s="6" t="s">
        <v>151</v>
      </c>
      <c r="B99" s="7" t="s">
        <v>152</v>
      </c>
      <c r="C99" s="7">
        <v>2</v>
      </c>
      <c r="D99" s="7">
        <v>30</v>
      </c>
      <c r="E99" s="7">
        <v>475.5</v>
      </c>
      <c r="F99" s="7" t="s">
        <v>28</v>
      </c>
      <c r="G99" s="8">
        <v>489</v>
      </c>
      <c r="H99" s="8">
        <v>1480</v>
      </c>
      <c r="I99" s="7">
        <v>4</v>
      </c>
      <c r="J99" s="7">
        <v>14</v>
      </c>
      <c r="K99" s="7"/>
      <c r="L99" s="7"/>
      <c r="M99" s="8"/>
      <c r="N99" s="10"/>
      <c r="O99" s="7"/>
      <c r="P99" s="7"/>
    </row>
    <row r="100" spans="1:16" ht="30.6" customHeight="1">
      <c r="A100" s="6" t="s">
        <v>153</v>
      </c>
      <c r="B100" s="7" t="s">
        <v>154</v>
      </c>
      <c r="C100" s="7">
        <v>2</v>
      </c>
      <c r="D100" s="7">
        <v>77</v>
      </c>
      <c r="E100" s="7">
        <v>859.6</v>
      </c>
      <c r="F100" s="7" t="s">
        <v>28</v>
      </c>
      <c r="G100" s="8">
        <v>856</v>
      </c>
      <c r="H100" s="8">
        <v>1825</v>
      </c>
      <c r="I100" s="7">
        <v>6</v>
      </c>
      <c r="J100" s="7">
        <v>10</v>
      </c>
      <c r="K100" s="7"/>
      <c r="L100" s="7"/>
      <c r="M100" s="8"/>
      <c r="N100" s="10"/>
      <c r="O100" s="7"/>
      <c r="P100" s="7"/>
    </row>
    <row r="101" spans="1:16" ht="30.6" customHeight="1">
      <c r="A101" s="6" t="s">
        <v>155</v>
      </c>
      <c r="B101" s="7" t="s">
        <v>33</v>
      </c>
      <c r="C101" s="7">
        <v>2</v>
      </c>
      <c r="D101" s="7">
        <v>254</v>
      </c>
      <c r="E101" s="7">
        <v>489.8</v>
      </c>
      <c r="F101" s="7" t="s">
        <v>28</v>
      </c>
      <c r="G101" s="8">
        <v>489</v>
      </c>
      <c r="H101" s="8">
        <v>800</v>
      </c>
      <c r="I101" s="7">
        <v>2</v>
      </c>
      <c r="J101" s="7">
        <v>7</v>
      </c>
      <c r="K101" s="7"/>
      <c r="L101" s="7"/>
      <c r="M101" s="8"/>
      <c r="N101" s="10"/>
      <c r="O101" s="7"/>
      <c r="P101" s="7"/>
    </row>
    <row r="102" spans="1:16" ht="30.6" customHeight="1">
      <c r="A102" s="6" t="s">
        <v>156</v>
      </c>
      <c r="B102" s="7" t="s">
        <v>42</v>
      </c>
      <c r="C102" s="7">
        <v>2</v>
      </c>
      <c r="D102" s="7">
        <v>69</v>
      </c>
      <c r="E102" s="7">
        <v>938.2</v>
      </c>
      <c r="F102" s="7" t="s">
        <v>28</v>
      </c>
      <c r="G102" s="8">
        <v>978</v>
      </c>
      <c r="H102" s="8">
        <v>2407</v>
      </c>
      <c r="I102" s="7">
        <v>8</v>
      </c>
      <c r="J102" s="7">
        <v>13</v>
      </c>
      <c r="K102" s="7"/>
      <c r="L102" s="7"/>
      <c r="M102" s="8"/>
      <c r="N102" s="10"/>
      <c r="O102" s="7"/>
      <c r="P102" s="7"/>
    </row>
    <row r="103" spans="1:16" ht="30.6" customHeight="1">
      <c r="A103" s="6" t="s">
        <v>157</v>
      </c>
      <c r="B103" s="7" t="s">
        <v>158</v>
      </c>
      <c r="C103" s="7">
        <v>2</v>
      </c>
      <c r="D103" s="7">
        <v>50</v>
      </c>
      <c r="E103" s="7">
        <v>296.2</v>
      </c>
      <c r="F103" s="7" t="s">
        <v>28</v>
      </c>
      <c r="G103" s="8">
        <v>295</v>
      </c>
      <c r="H103" s="8">
        <v>885</v>
      </c>
      <c r="I103" s="7">
        <v>3</v>
      </c>
      <c r="J103" s="7">
        <v>6</v>
      </c>
      <c r="K103" s="7"/>
      <c r="L103" s="7"/>
      <c r="M103" s="8"/>
      <c r="N103" s="10"/>
      <c r="O103" s="7"/>
      <c r="P103" s="7"/>
    </row>
    <row r="104" spans="1:16" ht="30.6" customHeight="1">
      <c r="A104" s="6" t="s">
        <v>159</v>
      </c>
      <c r="B104" s="7" t="s">
        <v>42</v>
      </c>
      <c r="C104" s="7">
        <v>2</v>
      </c>
      <c r="D104" s="7">
        <v>84</v>
      </c>
      <c r="E104" s="7">
        <v>860.4</v>
      </c>
      <c r="F104" s="7" t="s">
        <v>28</v>
      </c>
      <c r="G104" s="8">
        <v>856</v>
      </c>
      <c r="H104" s="8">
        <v>1696</v>
      </c>
      <c r="I104" s="7">
        <v>5</v>
      </c>
      <c r="J104" s="7">
        <v>18</v>
      </c>
      <c r="K104" s="7"/>
      <c r="L104" s="7"/>
      <c r="M104" s="8"/>
      <c r="N104" s="10"/>
      <c r="O104" s="7"/>
      <c r="P104" s="7"/>
    </row>
    <row r="105" spans="1:16" ht="30.6" customHeight="1">
      <c r="A105" s="6" t="s">
        <v>160</v>
      </c>
      <c r="B105" s="7" t="s">
        <v>42</v>
      </c>
      <c r="C105" s="7">
        <v>2</v>
      </c>
      <c r="D105" s="7">
        <v>304</v>
      </c>
      <c r="E105" s="7">
        <v>718</v>
      </c>
      <c r="F105" s="7" t="s">
        <v>28</v>
      </c>
      <c r="G105" s="8">
        <v>707</v>
      </c>
      <c r="H105" s="8">
        <v>1793</v>
      </c>
      <c r="I105" s="7">
        <v>6</v>
      </c>
      <c r="J105" s="7">
        <v>8</v>
      </c>
      <c r="K105" s="7"/>
      <c r="L105" s="7"/>
      <c r="M105" s="8"/>
      <c r="N105" s="10"/>
      <c r="O105" s="7"/>
      <c r="P105" s="7"/>
    </row>
    <row r="106" spans="1:16" ht="30.6" customHeight="1">
      <c r="A106" s="6" t="s">
        <v>161</v>
      </c>
      <c r="B106" s="7" t="s">
        <v>42</v>
      </c>
      <c r="C106" s="7">
        <v>2</v>
      </c>
      <c r="D106" s="7">
        <v>11</v>
      </c>
      <c r="E106" s="7">
        <v>483.7</v>
      </c>
      <c r="F106" s="7" t="s">
        <v>28</v>
      </c>
      <c r="G106" s="8">
        <v>489</v>
      </c>
      <c r="H106" s="8">
        <v>1338</v>
      </c>
      <c r="I106" s="7">
        <v>4</v>
      </c>
      <c r="J106" s="7"/>
      <c r="K106" s="7"/>
      <c r="L106" s="7"/>
      <c r="M106" s="8"/>
      <c r="N106" s="10"/>
      <c r="O106" s="7"/>
      <c r="P106" s="7"/>
    </row>
    <row r="107" spans="1:16" ht="30.6" customHeight="1">
      <c r="A107" s="6" t="s">
        <v>161</v>
      </c>
      <c r="B107" s="7"/>
      <c r="C107" s="7">
        <v>2</v>
      </c>
      <c r="D107" s="7">
        <v>151</v>
      </c>
      <c r="E107" s="7">
        <v>323.3</v>
      </c>
      <c r="F107" s="7" t="s">
        <v>28</v>
      </c>
      <c r="G107" s="8">
        <v>311</v>
      </c>
      <c r="H107" s="8"/>
      <c r="I107" s="7"/>
      <c r="J107" s="7"/>
      <c r="K107" s="7"/>
      <c r="L107" s="7"/>
      <c r="M107" s="8"/>
      <c r="N107" s="10"/>
      <c r="O107" s="7"/>
      <c r="P107" s="7"/>
    </row>
    <row r="108" spans="1:16" ht="30.6" customHeight="1">
      <c r="A108" s="6" t="s">
        <v>162</v>
      </c>
      <c r="B108" s="7" t="s">
        <v>163</v>
      </c>
      <c r="C108" s="7">
        <v>2</v>
      </c>
      <c r="D108" s="7">
        <v>91</v>
      </c>
      <c r="E108" s="7">
        <v>492.2</v>
      </c>
      <c r="F108" s="7" t="s">
        <v>28</v>
      </c>
      <c r="G108" s="8">
        <v>489</v>
      </c>
      <c r="H108" s="8">
        <v>1180</v>
      </c>
      <c r="I108" s="7">
        <v>4</v>
      </c>
      <c r="J108" s="7">
        <v>13</v>
      </c>
      <c r="K108" s="7"/>
      <c r="L108" s="7"/>
      <c r="M108" s="8"/>
      <c r="N108" s="10"/>
      <c r="O108" s="7"/>
      <c r="P108" s="7"/>
    </row>
    <row r="109" spans="1:16" ht="30.6" customHeight="1">
      <c r="A109" s="6" t="s">
        <v>164</v>
      </c>
      <c r="B109" s="7" t="s">
        <v>42</v>
      </c>
      <c r="C109" s="7">
        <v>2</v>
      </c>
      <c r="D109" s="7">
        <v>111</v>
      </c>
      <c r="E109" s="7">
        <v>859.8</v>
      </c>
      <c r="F109" s="7" t="s">
        <v>28</v>
      </c>
      <c r="G109" s="8">
        <v>856</v>
      </c>
      <c r="H109" s="8">
        <v>2220</v>
      </c>
      <c r="I109" s="7">
        <v>7</v>
      </c>
      <c r="J109" s="7">
        <v>22</v>
      </c>
      <c r="K109" s="7"/>
      <c r="L109" s="7"/>
      <c r="M109" s="8"/>
      <c r="N109" s="10"/>
      <c r="O109" s="7"/>
      <c r="P109" s="7"/>
    </row>
    <row r="110" spans="1:16" ht="30.6" customHeight="1">
      <c r="A110" s="6" t="s">
        <v>165</v>
      </c>
      <c r="B110" s="7"/>
      <c r="C110" s="7">
        <v>2</v>
      </c>
      <c r="D110" s="7">
        <v>193</v>
      </c>
      <c r="E110" s="7">
        <v>499.5</v>
      </c>
      <c r="F110" s="7" t="s">
        <v>28</v>
      </c>
      <c r="G110" s="8">
        <v>489</v>
      </c>
      <c r="H110" s="8">
        <v>489</v>
      </c>
      <c r="I110" s="7">
        <v>1.6</v>
      </c>
      <c r="J110" s="7">
        <v>8</v>
      </c>
      <c r="K110" s="7"/>
      <c r="L110" s="7"/>
      <c r="M110" s="8"/>
      <c r="N110" s="10"/>
      <c r="O110" s="7"/>
      <c r="P110" s="7"/>
    </row>
    <row r="111" spans="1:16" ht="30.6" customHeight="1">
      <c r="A111" s="6" t="s">
        <v>166</v>
      </c>
      <c r="B111" s="7" t="s">
        <v>42</v>
      </c>
      <c r="C111" s="7">
        <v>2</v>
      </c>
      <c r="D111" s="7">
        <v>290</v>
      </c>
      <c r="E111" s="7">
        <v>479.4</v>
      </c>
      <c r="F111" s="7" t="s">
        <v>28</v>
      </c>
      <c r="G111" s="8">
        <v>479</v>
      </c>
      <c r="H111" s="8">
        <v>1368</v>
      </c>
      <c r="I111" s="7">
        <v>4</v>
      </c>
      <c r="J111" s="7">
        <v>5</v>
      </c>
      <c r="K111" s="7"/>
      <c r="L111" s="7"/>
      <c r="M111" s="8"/>
      <c r="N111" s="10"/>
      <c r="O111" s="7"/>
      <c r="P111" s="7"/>
    </row>
    <row r="112" spans="1:16" ht="30.6" customHeight="1">
      <c r="A112" s="6" t="s">
        <v>167</v>
      </c>
      <c r="B112" s="7" t="s">
        <v>42</v>
      </c>
      <c r="C112" s="7">
        <v>2</v>
      </c>
      <c r="D112" s="7">
        <v>123</v>
      </c>
      <c r="E112" s="7">
        <v>298.39999999999998</v>
      </c>
      <c r="F112" s="7" t="s">
        <v>28</v>
      </c>
      <c r="G112" s="8">
        <v>295</v>
      </c>
      <c r="H112" s="8">
        <v>915</v>
      </c>
      <c r="I112" s="7">
        <v>3</v>
      </c>
      <c r="J112" s="7">
        <v>5</v>
      </c>
      <c r="K112" s="7"/>
      <c r="L112" s="7"/>
      <c r="M112" s="8"/>
      <c r="N112" s="10"/>
      <c r="O112" s="7"/>
      <c r="P112" s="7"/>
    </row>
    <row r="113" spans="1:16" ht="30.6" customHeight="1">
      <c r="A113" s="6" t="s">
        <v>168</v>
      </c>
      <c r="B113" s="7" t="s">
        <v>33</v>
      </c>
      <c r="C113" s="7">
        <v>2</v>
      </c>
      <c r="D113" s="7">
        <v>243</v>
      </c>
      <c r="E113" s="7">
        <v>618.6</v>
      </c>
      <c r="F113" s="7" t="s">
        <v>28</v>
      </c>
      <c r="G113" s="8">
        <v>616</v>
      </c>
      <c r="H113" s="8">
        <v>1004</v>
      </c>
      <c r="I113" s="7">
        <v>3</v>
      </c>
      <c r="J113" s="7">
        <v>15</v>
      </c>
      <c r="K113" s="7"/>
      <c r="L113" s="7"/>
      <c r="M113" s="8"/>
      <c r="N113" s="10"/>
      <c r="O113" s="7"/>
      <c r="P113" s="7"/>
    </row>
    <row r="114" spans="1:16" ht="30.6" customHeight="1">
      <c r="A114" s="6" t="s">
        <v>169</v>
      </c>
      <c r="B114" s="7"/>
      <c r="C114" s="7">
        <v>2</v>
      </c>
      <c r="D114" s="7">
        <v>131</v>
      </c>
      <c r="E114" s="7">
        <v>313.3</v>
      </c>
      <c r="F114" s="7" t="s">
        <v>28</v>
      </c>
      <c r="G114" s="8">
        <v>310</v>
      </c>
      <c r="H114" s="8">
        <v>620</v>
      </c>
      <c r="I114" s="7">
        <v>2</v>
      </c>
      <c r="J114" s="7">
        <v>7</v>
      </c>
      <c r="K114" s="7"/>
      <c r="L114" s="7"/>
      <c r="M114" s="8"/>
      <c r="N114" s="10"/>
      <c r="O114" s="7"/>
      <c r="P114" s="7"/>
    </row>
    <row r="115" spans="1:16" ht="30.6" customHeight="1">
      <c r="A115" s="6" t="s">
        <v>170</v>
      </c>
      <c r="B115" s="7" t="s">
        <v>171</v>
      </c>
      <c r="C115" s="7">
        <v>2</v>
      </c>
      <c r="D115" s="7">
        <v>47</v>
      </c>
      <c r="E115" s="7">
        <v>620.1</v>
      </c>
      <c r="F115" s="7" t="s">
        <v>28</v>
      </c>
      <c r="G115" s="8">
        <v>616</v>
      </c>
      <c r="H115" s="8">
        <v>2418</v>
      </c>
      <c r="I115" s="7">
        <v>8</v>
      </c>
      <c r="J115" s="7">
        <v>10</v>
      </c>
      <c r="K115" s="7"/>
      <c r="L115" s="7"/>
      <c r="M115" s="8"/>
      <c r="N115" s="10"/>
      <c r="O115" s="7"/>
      <c r="P115" s="7"/>
    </row>
    <row r="116" spans="1:16" ht="30.6" customHeight="1">
      <c r="A116" s="6" t="s">
        <v>170</v>
      </c>
      <c r="B116" s="7"/>
      <c r="C116" s="7">
        <v>2</v>
      </c>
      <c r="D116" s="7">
        <v>146</v>
      </c>
      <c r="E116" s="7">
        <v>1131.2</v>
      </c>
      <c r="F116" s="7" t="s">
        <v>28</v>
      </c>
      <c r="G116" s="8">
        <v>1111</v>
      </c>
      <c r="H116" s="8"/>
      <c r="I116" s="7"/>
      <c r="J116" s="7"/>
      <c r="K116" s="7"/>
      <c r="L116" s="7"/>
      <c r="M116" s="8"/>
      <c r="N116" s="10"/>
      <c r="O116" s="7"/>
      <c r="P116" s="7"/>
    </row>
    <row r="117" spans="1:16" ht="30.6" customHeight="1">
      <c r="A117" s="6" t="s">
        <v>172</v>
      </c>
      <c r="B117" s="7" t="s">
        <v>173</v>
      </c>
      <c r="C117" s="7">
        <v>2</v>
      </c>
      <c r="D117" s="7">
        <v>5</v>
      </c>
      <c r="E117" s="7">
        <v>493.3</v>
      </c>
      <c r="F117" s="7" t="s">
        <v>28</v>
      </c>
      <c r="G117" s="8">
        <v>489</v>
      </c>
      <c r="H117" s="8">
        <v>1268</v>
      </c>
      <c r="I117" s="7">
        <v>4</v>
      </c>
      <c r="J117" s="7">
        <v>3</v>
      </c>
      <c r="K117" s="7"/>
      <c r="L117" s="7"/>
      <c r="M117" s="8"/>
      <c r="N117" s="10"/>
      <c r="O117" s="7"/>
      <c r="P117" s="7"/>
    </row>
    <row r="118" spans="1:16" ht="30.6" customHeight="1">
      <c r="A118" s="6" t="s">
        <v>172</v>
      </c>
      <c r="B118" s="7"/>
      <c r="C118" s="7">
        <v>2</v>
      </c>
      <c r="D118" s="7">
        <v>61</v>
      </c>
      <c r="E118" s="7">
        <v>348.4</v>
      </c>
      <c r="F118" s="7" t="s">
        <v>28</v>
      </c>
      <c r="G118" s="8">
        <v>311</v>
      </c>
      <c r="H118" s="8"/>
      <c r="I118" s="7"/>
      <c r="J118" s="7"/>
      <c r="K118" s="7"/>
      <c r="L118" s="7"/>
      <c r="M118" s="8"/>
      <c r="N118" s="10"/>
      <c r="O118" s="7"/>
      <c r="P118" s="7"/>
    </row>
    <row r="119" spans="1:16" ht="30.6" customHeight="1">
      <c r="A119" s="6" t="s">
        <v>174</v>
      </c>
      <c r="B119" s="7" t="s">
        <v>175</v>
      </c>
      <c r="C119" s="7">
        <v>2</v>
      </c>
      <c r="D119" s="7">
        <v>108</v>
      </c>
      <c r="E119" s="7">
        <v>493.9</v>
      </c>
      <c r="F119" s="7" t="s">
        <v>28</v>
      </c>
      <c r="G119" s="8">
        <v>489</v>
      </c>
      <c r="H119" s="8">
        <v>1368</v>
      </c>
      <c r="I119" s="7">
        <v>4</v>
      </c>
      <c r="J119" s="7">
        <v>6</v>
      </c>
      <c r="K119" s="7"/>
      <c r="L119" s="7"/>
      <c r="M119" s="8"/>
      <c r="N119" s="10"/>
      <c r="O119" s="7"/>
      <c r="P119" s="7"/>
    </row>
    <row r="120" spans="1:16" ht="30.6" customHeight="1">
      <c r="A120" s="6" t="s">
        <v>176</v>
      </c>
      <c r="B120" s="7" t="s">
        <v>177</v>
      </c>
      <c r="C120" s="7">
        <v>2</v>
      </c>
      <c r="D120" s="7">
        <v>12</v>
      </c>
      <c r="E120" s="7">
        <v>334.2</v>
      </c>
      <c r="F120" s="7" t="s">
        <v>28</v>
      </c>
      <c r="G120" s="8">
        <v>342</v>
      </c>
      <c r="H120" s="8">
        <v>1026</v>
      </c>
      <c r="I120" s="7">
        <v>3</v>
      </c>
      <c r="J120" s="7">
        <v>8</v>
      </c>
      <c r="K120" s="7"/>
      <c r="L120" s="7"/>
      <c r="M120" s="8"/>
      <c r="N120" s="10"/>
      <c r="O120" s="7"/>
      <c r="P120" s="7"/>
    </row>
    <row r="121" spans="1:16" ht="30.6" customHeight="1">
      <c r="A121" s="6" t="s">
        <v>176</v>
      </c>
      <c r="B121" s="7"/>
      <c r="C121" s="7">
        <v>2</v>
      </c>
      <c r="D121" s="7">
        <v>150</v>
      </c>
      <c r="E121" s="7">
        <v>360.9</v>
      </c>
      <c r="F121" s="7" t="s">
        <v>28</v>
      </c>
      <c r="G121" s="8">
        <v>342</v>
      </c>
      <c r="H121" s="8"/>
      <c r="I121" s="7"/>
      <c r="J121" s="7"/>
      <c r="K121" s="7"/>
      <c r="L121" s="7"/>
      <c r="M121" s="8"/>
      <c r="N121" s="10"/>
      <c r="O121" s="7"/>
      <c r="P121" s="7"/>
    </row>
    <row r="122" spans="1:16" ht="30.6" customHeight="1">
      <c r="A122" s="6" t="s">
        <v>178</v>
      </c>
      <c r="B122" s="7" t="s">
        <v>33</v>
      </c>
      <c r="C122" s="7">
        <v>2</v>
      </c>
      <c r="D122" s="7">
        <v>255</v>
      </c>
      <c r="E122" s="7">
        <v>618.4</v>
      </c>
      <c r="F122" s="7" t="s">
        <v>28</v>
      </c>
      <c r="G122" s="8">
        <v>616</v>
      </c>
      <c r="H122" s="8">
        <v>1004</v>
      </c>
      <c r="I122" s="7">
        <v>3</v>
      </c>
      <c r="J122" s="7">
        <v>8</v>
      </c>
      <c r="K122" s="7"/>
      <c r="L122" s="7"/>
      <c r="M122" s="8"/>
      <c r="N122" s="10"/>
      <c r="O122" s="7"/>
      <c r="P122" s="7"/>
    </row>
    <row r="123" spans="1:16" ht="30.6" customHeight="1">
      <c r="A123" s="6" t="s">
        <v>179</v>
      </c>
      <c r="B123" s="7" t="s">
        <v>180</v>
      </c>
      <c r="C123" s="7">
        <v>2</v>
      </c>
      <c r="D123" s="7">
        <v>76</v>
      </c>
      <c r="E123" s="7">
        <v>730.1</v>
      </c>
      <c r="F123" s="7" t="s">
        <v>28</v>
      </c>
      <c r="G123" s="8">
        <v>733</v>
      </c>
      <c r="H123" s="8">
        <v>1958</v>
      </c>
      <c r="I123" s="7">
        <v>6</v>
      </c>
      <c r="J123" s="7">
        <v>27</v>
      </c>
      <c r="K123" s="7"/>
      <c r="L123" s="7"/>
      <c r="M123" s="8"/>
      <c r="N123" s="10"/>
      <c r="O123" s="7"/>
      <c r="P123" s="7"/>
    </row>
    <row r="124" spans="1:16" ht="30.6" customHeight="1">
      <c r="A124" s="6" t="s">
        <v>181</v>
      </c>
      <c r="B124" s="7" t="s">
        <v>33</v>
      </c>
      <c r="C124" s="7">
        <v>2</v>
      </c>
      <c r="D124" s="7">
        <v>186</v>
      </c>
      <c r="E124" s="7">
        <v>349.4</v>
      </c>
      <c r="F124" s="7" t="s">
        <v>28</v>
      </c>
      <c r="G124" s="8">
        <v>342</v>
      </c>
      <c r="H124" s="8">
        <v>684</v>
      </c>
      <c r="I124" s="7">
        <v>2</v>
      </c>
      <c r="J124" s="7">
        <v>4</v>
      </c>
      <c r="K124" s="7"/>
      <c r="L124" s="7"/>
      <c r="M124" s="8"/>
      <c r="N124" s="10"/>
      <c r="O124" s="7"/>
      <c r="P124" s="7"/>
    </row>
    <row r="125" spans="1:16" ht="30.6" customHeight="1">
      <c r="A125" s="6" t="s">
        <v>182</v>
      </c>
      <c r="B125" s="7" t="s">
        <v>183</v>
      </c>
      <c r="C125" s="7">
        <v>2</v>
      </c>
      <c r="D125" s="7">
        <v>46</v>
      </c>
      <c r="E125" s="7">
        <v>619.1</v>
      </c>
      <c r="F125" s="7" t="s">
        <v>28</v>
      </c>
      <c r="G125" s="8">
        <v>616</v>
      </c>
      <c r="H125" s="8">
        <v>1685</v>
      </c>
      <c r="I125" s="7">
        <v>5</v>
      </c>
      <c r="J125" s="7">
        <v>14</v>
      </c>
      <c r="K125" s="7"/>
      <c r="L125" s="7"/>
      <c r="M125" s="8"/>
      <c r="N125" s="10"/>
      <c r="O125" s="7"/>
      <c r="P125" s="7"/>
    </row>
    <row r="126" spans="1:16" ht="30.6" customHeight="1">
      <c r="A126" s="6" t="s">
        <v>184</v>
      </c>
      <c r="B126" s="7" t="s">
        <v>185</v>
      </c>
      <c r="C126" s="7">
        <v>2</v>
      </c>
      <c r="D126" s="7">
        <v>71</v>
      </c>
      <c r="E126" s="7">
        <v>478</v>
      </c>
      <c r="F126" s="7" t="s">
        <v>28</v>
      </c>
      <c r="G126" s="8">
        <v>489</v>
      </c>
      <c r="H126" s="8">
        <v>1368</v>
      </c>
      <c r="I126" s="7">
        <v>4</v>
      </c>
      <c r="J126" s="7">
        <v>7</v>
      </c>
      <c r="K126" s="7"/>
      <c r="L126" s="7"/>
      <c r="M126" s="8"/>
      <c r="N126" s="10"/>
      <c r="O126" s="7"/>
      <c r="P126" s="7"/>
    </row>
    <row r="127" spans="1:16" ht="30.6" customHeight="1">
      <c r="A127" s="6" t="s">
        <v>186</v>
      </c>
      <c r="B127" s="7" t="s">
        <v>187</v>
      </c>
      <c r="C127" s="7">
        <v>2</v>
      </c>
      <c r="D127" s="7">
        <v>27</v>
      </c>
      <c r="E127" s="7">
        <v>477.9</v>
      </c>
      <c r="F127" s="7" t="s">
        <v>28</v>
      </c>
      <c r="G127" s="8">
        <v>489</v>
      </c>
      <c r="H127" s="8">
        <v>1180</v>
      </c>
      <c r="I127" s="7">
        <v>4</v>
      </c>
      <c r="J127" s="7">
        <v>6</v>
      </c>
      <c r="K127" s="7"/>
      <c r="L127" s="7"/>
      <c r="M127" s="8"/>
      <c r="N127" s="10"/>
      <c r="O127" s="7"/>
      <c r="P127" s="7"/>
    </row>
    <row r="128" spans="1:16" ht="30.6" customHeight="1">
      <c r="A128" s="6" t="s">
        <v>188</v>
      </c>
      <c r="B128" s="7" t="s">
        <v>189</v>
      </c>
      <c r="C128" s="7">
        <v>2</v>
      </c>
      <c r="D128" s="7">
        <v>78</v>
      </c>
      <c r="E128" s="7">
        <v>736.1</v>
      </c>
      <c r="F128" s="7" t="s">
        <v>28</v>
      </c>
      <c r="G128" s="8">
        <v>733</v>
      </c>
      <c r="H128" s="8">
        <v>2130.1999999999998</v>
      </c>
      <c r="I128" s="7">
        <v>7</v>
      </c>
      <c r="J128" s="7">
        <v>10</v>
      </c>
      <c r="K128" s="7"/>
      <c r="L128" s="7"/>
      <c r="M128" s="8"/>
      <c r="N128" s="10"/>
      <c r="O128" s="7"/>
      <c r="P128" s="7"/>
    </row>
    <row r="129" spans="1:16" ht="30.6" customHeight="1">
      <c r="A129" s="6" t="s">
        <v>190</v>
      </c>
      <c r="B129" s="7" t="s">
        <v>191</v>
      </c>
      <c r="C129" s="7">
        <v>2</v>
      </c>
      <c r="D129" s="7">
        <v>72</v>
      </c>
      <c r="E129" s="7">
        <v>719.5</v>
      </c>
      <c r="F129" s="7" t="s">
        <v>28</v>
      </c>
      <c r="G129" s="8">
        <v>733</v>
      </c>
      <c r="H129" s="8">
        <v>2007</v>
      </c>
      <c r="I129" s="7">
        <v>6</v>
      </c>
      <c r="J129" s="7">
        <v>13</v>
      </c>
      <c r="K129" s="7"/>
      <c r="L129" s="7"/>
      <c r="M129" s="8"/>
      <c r="N129" s="10"/>
      <c r="O129" s="7"/>
      <c r="P129" s="7"/>
    </row>
    <row r="130" spans="1:16" ht="30.6" customHeight="1">
      <c r="A130" s="6" t="s">
        <v>192</v>
      </c>
      <c r="B130" s="7" t="s">
        <v>33</v>
      </c>
      <c r="C130" s="7">
        <v>2</v>
      </c>
      <c r="D130" s="7">
        <v>194</v>
      </c>
      <c r="E130" s="7">
        <v>500.4</v>
      </c>
      <c r="F130" s="7" t="s">
        <v>28</v>
      </c>
      <c r="G130" s="8">
        <v>489</v>
      </c>
      <c r="H130" s="8">
        <v>800</v>
      </c>
      <c r="I130" s="7">
        <v>2.7</v>
      </c>
      <c r="J130" s="7"/>
      <c r="K130" s="7"/>
      <c r="L130" s="7"/>
      <c r="M130" s="8"/>
      <c r="N130" s="10"/>
      <c r="O130" s="7"/>
      <c r="P130" s="7"/>
    </row>
    <row r="131" spans="1:16" ht="30.6" customHeight="1">
      <c r="A131" s="6" t="s">
        <v>193</v>
      </c>
      <c r="B131" s="7" t="s">
        <v>194</v>
      </c>
      <c r="C131" s="7">
        <v>2</v>
      </c>
      <c r="D131" s="7">
        <v>26</v>
      </c>
      <c r="E131" s="7">
        <v>475.2</v>
      </c>
      <c r="F131" s="7" t="s">
        <v>28</v>
      </c>
      <c r="G131" s="8">
        <v>489</v>
      </c>
      <c r="H131" s="8">
        <v>1180</v>
      </c>
      <c r="I131" s="7">
        <v>6</v>
      </c>
      <c r="J131" s="7">
        <v>15</v>
      </c>
      <c r="K131" s="7"/>
      <c r="L131" s="7"/>
      <c r="M131" s="8"/>
      <c r="N131" s="10"/>
      <c r="O131" s="7"/>
      <c r="P131" s="7"/>
    </row>
    <row r="132" spans="1:16" ht="30.6" customHeight="1">
      <c r="A132" s="6" t="s">
        <v>195</v>
      </c>
      <c r="B132" s="7" t="s">
        <v>33</v>
      </c>
      <c r="C132" s="7">
        <v>2</v>
      </c>
      <c r="D132" s="7">
        <v>175</v>
      </c>
      <c r="E132" s="7">
        <v>622.29999999999995</v>
      </c>
      <c r="F132" s="7" t="s">
        <v>28</v>
      </c>
      <c r="G132" s="8">
        <v>616</v>
      </c>
      <c r="H132" s="8">
        <v>1014</v>
      </c>
      <c r="I132" s="7">
        <v>3.4</v>
      </c>
      <c r="J132" s="7">
        <v>10</v>
      </c>
      <c r="K132" s="7"/>
      <c r="L132" s="7"/>
      <c r="M132" s="8"/>
      <c r="N132" s="10"/>
      <c r="O132" s="7"/>
      <c r="P132" s="7"/>
    </row>
    <row r="133" spans="1:16" ht="30.6" customHeight="1">
      <c r="A133" s="6" t="s">
        <v>196</v>
      </c>
      <c r="B133" s="7" t="s">
        <v>33</v>
      </c>
      <c r="C133" s="7">
        <v>2</v>
      </c>
      <c r="D133" s="7">
        <v>215</v>
      </c>
      <c r="E133" s="7">
        <v>299.10000000000002</v>
      </c>
      <c r="F133" s="7" t="s">
        <v>28</v>
      </c>
      <c r="G133" s="8">
        <v>295</v>
      </c>
      <c r="H133" s="8">
        <v>590</v>
      </c>
      <c r="I133" s="7">
        <v>2</v>
      </c>
      <c r="J133" s="7">
        <v>4</v>
      </c>
      <c r="K133" s="7"/>
      <c r="L133" s="7"/>
      <c r="M133" s="8"/>
      <c r="N133" s="10"/>
      <c r="O133" s="7"/>
      <c r="P133" s="7"/>
    </row>
    <row r="134" spans="1:16" ht="30.6" customHeight="1">
      <c r="A134" s="6" t="s">
        <v>197</v>
      </c>
      <c r="B134" s="7" t="s">
        <v>198</v>
      </c>
      <c r="C134" s="7">
        <v>2</v>
      </c>
      <c r="D134" s="7">
        <v>45</v>
      </c>
      <c r="E134" s="7">
        <v>490.3</v>
      </c>
      <c r="F134" s="7" t="s">
        <v>28</v>
      </c>
      <c r="G134" s="8">
        <v>489</v>
      </c>
      <c r="H134" s="8">
        <v>1219</v>
      </c>
      <c r="I134" s="7">
        <v>4</v>
      </c>
      <c r="J134" s="7">
        <v>7</v>
      </c>
      <c r="K134" s="7"/>
      <c r="L134" s="7"/>
      <c r="M134" s="8"/>
      <c r="N134" s="10"/>
      <c r="O134" s="7"/>
      <c r="P134" s="7"/>
    </row>
    <row r="135" spans="1:16" ht="30.6" customHeight="1">
      <c r="A135" s="6" t="s">
        <v>199</v>
      </c>
      <c r="B135" s="7" t="s">
        <v>33</v>
      </c>
      <c r="C135" s="7">
        <v>2</v>
      </c>
      <c r="D135" s="7">
        <v>128</v>
      </c>
      <c r="E135" s="7">
        <v>299.7</v>
      </c>
      <c r="F135" s="7" t="s">
        <v>28</v>
      </c>
      <c r="G135" s="8">
        <v>295</v>
      </c>
      <c r="H135" s="8">
        <v>590</v>
      </c>
      <c r="I135" s="7">
        <v>2</v>
      </c>
      <c r="J135" s="7">
        <v>5</v>
      </c>
      <c r="K135" s="7"/>
      <c r="L135" s="7"/>
      <c r="M135" s="8"/>
      <c r="N135" s="10"/>
      <c r="O135" s="7"/>
      <c r="P135" s="7"/>
    </row>
    <row r="136" spans="1:16" ht="30.6" customHeight="1">
      <c r="A136" s="6" t="s">
        <v>200</v>
      </c>
      <c r="B136" s="7" t="s">
        <v>33</v>
      </c>
      <c r="C136" s="7">
        <v>2</v>
      </c>
      <c r="D136" s="7">
        <v>219</v>
      </c>
      <c r="E136" s="7">
        <v>315.39999999999998</v>
      </c>
      <c r="F136" s="7" t="s">
        <v>28</v>
      </c>
      <c r="G136" s="8">
        <v>310</v>
      </c>
      <c r="H136" s="8">
        <v>610</v>
      </c>
      <c r="I136" s="7">
        <v>2</v>
      </c>
      <c r="J136" s="7">
        <v>1</v>
      </c>
      <c r="K136" s="7"/>
      <c r="L136" s="7"/>
      <c r="M136" s="8"/>
      <c r="N136" s="10"/>
      <c r="O136" s="7"/>
      <c r="P136" s="7"/>
    </row>
    <row r="137" spans="1:16" ht="30.6" customHeight="1">
      <c r="A137" s="6" t="s">
        <v>201</v>
      </c>
      <c r="B137" s="7" t="s">
        <v>42</v>
      </c>
      <c r="C137" s="7">
        <v>2</v>
      </c>
      <c r="D137" s="7">
        <v>303</v>
      </c>
      <c r="E137" s="7">
        <v>850.5</v>
      </c>
      <c r="F137" s="7" t="s">
        <v>28</v>
      </c>
      <c r="G137" s="8">
        <v>835</v>
      </c>
      <c r="H137" s="8">
        <v>2046</v>
      </c>
      <c r="I137" s="7">
        <v>7</v>
      </c>
      <c r="J137" s="7">
        <v>22</v>
      </c>
      <c r="K137" s="7"/>
      <c r="L137" s="7"/>
      <c r="M137" s="8"/>
      <c r="N137" s="10"/>
      <c r="O137" s="7"/>
      <c r="P137" s="7"/>
    </row>
    <row r="138" spans="1:16" ht="30.6" customHeight="1">
      <c r="A138" s="6" t="s">
        <v>202</v>
      </c>
      <c r="B138" s="7" t="s">
        <v>203</v>
      </c>
      <c r="C138" s="7">
        <v>2</v>
      </c>
      <c r="D138" s="7">
        <v>138</v>
      </c>
      <c r="E138" s="7">
        <v>297.8</v>
      </c>
      <c r="F138" s="7" t="s">
        <v>28</v>
      </c>
      <c r="G138" s="8">
        <v>295</v>
      </c>
      <c r="H138" s="8">
        <v>885</v>
      </c>
      <c r="I138" s="7">
        <v>3</v>
      </c>
      <c r="J138" s="7">
        <v>6</v>
      </c>
      <c r="K138" s="7"/>
      <c r="L138" s="7"/>
      <c r="M138" s="8"/>
      <c r="N138" s="10"/>
      <c r="O138" s="7"/>
      <c r="P138" s="7"/>
    </row>
    <row r="139" spans="1:16" ht="30.6" customHeight="1">
      <c r="A139" s="6" t="s">
        <v>202</v>
      </c>
      <c r="B139" s="7"/>
      <c r="C139" s="7">
        <v>2</v>
      </c>
      <c r="D139" s="7">
        <v>162</v>
      </c>
      <c r="E139" s="7">
        <v>300.60000000000002</v>
      </c>
      <c r="F139" s="7" t="s">
        <v>28</v>
      </c>
      <c r="G139" s="8">
        <v>295</v>
      </c>
      <c r="H139" s="8"/>
      <c r="I139" s="7"/>
      <c r="J139" s="7"/>
      <c r="K139" s="7"/>
      <c r="L139" s="7"/>
      <c r="M139" s="8"/>
      <c r="N139" s="10"/>
      <c r="O139" s="7"/>
      <c r="P139" s="7"/>
    </row>
    <row r="140" spans="1:16" ht="30.6" customHeight="1">
      <c r="A140" s="6" t="s">
        <v>204</v>
      </c>
      <c r="B140" s="7" t="s">
        <v>205</v>
      </c>
      <c r="C140" s="7">
        <v>2</v>
      </c>
      <c r="D140" s="7">
        <v>110</v>
      </c>
      <c r="E140" s="7">
        <v>983.9</v>
      </c>
      <c r="F140" s="7" t="s">
        <v>28</v>
      </c>
      <c r="G140" s="8">
        <v>978</v>
      </c>
      <c r="H140" s="8">
        <v>2660</v>
      </c>
      <c r="I140" s="7">
        <v>9</v>
      </c>
      <c r="J140" s="7">
        <v>15</v>
      </c>
      <c r="K140" s="7"/>
      <c r="L140" s="7"/>
      <c r="M140" s="8"/>
      <c r="N140" s="10"/>
      <c r="O140" s="7"/>
      <c r="P140" s="7"/>
    </row>
    <row r="141" spans="1:16" ht="30.6" customHeight="1">
      <c r="A141" s="6" t="s">
        <v>206</v>
      </c>
      <c r="B141" s="7" t="s">
        <v>207</v>
      </c>
      <c r="C141" s="7">
        <v>2</v>
      </c>
      <c r="D141" s="7">
        <v>107</v>
      </c>
      <c r="E141" s="7">
        <v>299.10000000000002</v>
      </c>
      <c r="F141" s="7" t="s">
        <v>28</v>
      </c>
      <c r="G141" s="8">
        <v>295</v>
      </c>
      <c r="H141" s="8">
        <v>885</v>
      </c>
      <c r="I141" s="7">
        <v>3</v>
      </c>
      <c r="J141" s="7">
        <v>1</v>
      </c>
      <c r="K141" s="7"/>
      <c r="L141" s="7"/>
      <c r="M141" s="8"/>
      <c r="N141" s="10"/>
      <c r="O141" s="7"/>
      <c r="P141" s="7"/>
    </row>
    <row r="142" spans="1:16" ht="30.6" customHeight="1">
      <c r="A142" s="6" t="s">
        <v>208</v>
      </c>
      <c r="B142" s="7" t="s">
        <v>33</v>
      </c>
      <c r="C142" s="7">
        <v>2</v>
      </c>
      <c r="D142" s="7">
        <v>211</v>
      </c>
      <c r="E142" s="7">
        <v>618.6</v>
      </c>
      <c r="F142" s="7" t="s">
        <v>28</v>
      </c>
      <c r="G142" s="8">
        <v>616</v>
      </c>
      <c r="H142" s="8">
        <v>1004</v>
      </c>
      <c r="I142" s="7">
        <v>3.4</v>
      </c>
      <c r="J142" s="7">
        <v>13</v>
      </c>
      <c r="K142" s="7"/>
      <c r="L142" s="7"/>
      <c r="M142" s="8"/>
      <c r="N142" s="10"/>
      <c r="O142" s="7"/>
      <c r="P142" s="7"/>
    </row>
    <row r="143" spans="1:16" ht="30.6" customHeight="1">
      <c r="A143" s="6" t="s">
        <v>209</v>
      </c>
      <c r="B143" s="7"/>
      <c r="C143" s="7">
        <v>2</v>
      </c>
      <c r="D143" s="7">
        <v>272</v>
      </c>
      <c r="E143" s="7">
        <v>342.9</v>
      </c>
      <c r="F143" s="7" t="s">
        <v>28</v>
      </c>
      <c r="G143" s="8">
        <v>342</v>
      </c>
      <c r="H143" s="8">
        <v>342</v>
      </c>
      <c r="I143" s="7">
        <v>1.1000000000000001</v>
      </c>
      <c r="J143" s="7">
        <v>4</v>
      </c>
      <c r="K143" s="7"/>
      <c r="L143" s="7"/>
      <c r="M143" s="8"/>
      <c r="N143" s="10"/>
      <c r="O143" s="7"/>
      <c r="P143" s="7"/>
    </row>
    <row r="144" spans="1:16" ht="30.6" customHeight="1">
      <c r="A144" s="6" t="s">
        <v>210</v>
      </c>
      <c r="B144" s="7"/>
      <c r="C144" s="7">
        <v>2</v>
      </c>
      <c r="D144" s="7">
        <v>295</v>
      </c>
      <c r="E144" s="7">
        <v>479.8</v>
      </c>
      <c r="F144" s="7" t="s">
        <v>28</v>
      </c>
      <c r="G144" s="8">
        <v>471</v>
      </c>
      <c r="H144" s="8">
        <v>1368</v>
      </c>
      <c r="I144" s="7">
        <v>4.5999999999999996</v>
      </c>
      <c r="J144" s="7">
        <v>4</v>
      </c>
      <c r="K144" s="7"/>
      <c r="L144" s="7"/>
      <c r="M144" s="8"/>
      <c r="N144" s="10"/>
      <c r="O144" s="7"/>
      <c r="P144" s="7"/>
    </row>
    <row r="145" spans="1:16" ht="30.6" customHeight="1">
      <c r="A145" s="6" t="s">
        <v>211</v>
      </c>
      <c r="B145" s="7" t="s">
        <v>42</v>
      </c>
      <c r="C145" s="7">
        <v>2</v>
      </c>
      <c r="D145" s="7">
        <v>286</v>
      </c>
      <c r="E145" s="7">
        <v>438.2</v>
      </c>
      <c r="F145" s="7" t="s">
        <v>28</v>
      </c>
      <c r="G145" s="8">
        <v>589</v>
      </c>
      <c r="H145" s="8">
        <v>1663</v>
      </c>
      <c r="I145" s="7">
        <v>5.6</v>
      </c>
      <c r="J145" s="7">
        <v>12</v>
      </c>
      <c r="K145" s="7"/>
      <c r="L145" s="7"/>
      <c r="M145" s="8"/>
      <c r="N145" s="10"/>
      <c r="O145" s="7"/>
      <c r="P145" s="7"/>
    </row>
    <row r="146" spans="1:16" ht="30.6" customHeight="1">
      <c r="A146" s="6" t="s">
        <v>212</v>
      </c>
      <c r="B146" s="7" t="s">
        <v>213</v>
      </c>
      <c r="C146" s="7">
        <v>2</v>
      </c>
      <c r="D146" s="7">
        <v>311</v>
      </c>
      <c r="E146" s="7">
        <v>596.20000000000005</v>
      </c>
      <c r="F146" s="7" t="s">
        <v>28</v>
      </c>
      <c r="G146" s="8">
        <v>590</v>
      </c>
      <c r="H146" s="8">
        <v>590</v>
      </c>
      <c r="I146" s="7">
        <v>2</v>
      </c>
      <c r="J146" s="7">
        <v>7</v>
      </c>
      <c r="K146" s="7"/>
      <c r="L146" s="7"/>
      <c r="M146" s="8"/>
      <c r="N146" s="10"/>
      <c r="O146" s="7"/>
      <c r="P146" s="7"/>
    </row>
    <row r="147" spans="1:16" ht="30.6" customHeight="1">
      <c r="A147" s="6" t="s">
        <v>214</v>
      </c>
      <c r="B147" s="7"/>
      <c r="C147" s="7">
        <v>2</v>
      </c>
      <c r="D147" s="7">
        <v>121</v>
      </c>
      <c r="E147" s="7">
        <v>621.1</v>
      </c>
      <c r="F147" s="7" t="s">
        <v>28</v>
      </c>
      <c r="G147" s="8">
        <v>616</v>
      </c>
      <c r="H147" s="8">
        <v>1555</v>
      </c>
      <c r="I147" s="7">
        <v>5</v>
      </c>
      <c r="J147" s="7">
        <v>12</v>
      </c>
      <c r="K147" s="7"/>
      <c r="L147" s="7"/>
      <c r="M147" s="8"/>
      <c r="N147" s="10"/>
      <c r="O147" s="7"/>
      <c r="P147" s="7"/>
    </row>
    <row r="148" spans="1:16" ht="30.6" customHeight="1">
      <c r="A148" s="6" t="s">
        <v>215</v>
      </c>
      <c r="B148" s="7" t="s">
        <v>33</v>
      </c>
      <c r="C148" s="7">
        <v>2</v>
      </c>
      <c r="D148" s="7">
        <v>241</v>
      </c>
      <c r="E148" s="7">
        <v>501.6</v>
      </c>
      <c r="F148" s="7" t="s">
        <v>28</v>
      </c>
      <c r="G148" s="8">
        <v>489</v>
      </c>
      <c r="H148" s="8">
        <v>800</v>
      </c>
      <c r="I148" s="7">
        <v>2.7</v>
      </c>
      <c r="J148" s="7">
        <v>9</v>
      </c>
      <c r="K148" s="7"/>
      <c r="L148" s="7"/>
      <c r="M148" s="8"/>
      <c r="N148" s="10"/>
      <c r="O148" s="7"/>
      <c r="P148" s="7"/>
    </row>
    <row r="149" spans="1:16" ht="30.6" customHeight="1">
      <c r="A149" s="6" t="s">
        <v>216</v>
      </c>
      <c r="B149" s="7" t="s">
        <v>33</v>
      </c>
      <c r="C149" s="7">
        <v>2</v>
      </c>
      <c r="D149" s="7">
        <v>189</v>
      </c>
      <c r="E149" s="7">
        <v>478.1</v>
      </c>
      <c r="F149" s="7" t="s">
        <v>28</v>
      </c>
      <c r="G149" s="8">
        <v>468</v>
      </c>
      <c r="H149" s="8">
        <v>795</v>
      </c>
      <c r="I149" s="7">
        <v>2</v>
      </c>
      <c r="J149" s="7">
        <v>7</v>
      </c>
      <c r="K149" s="7"/>
      <c r="L149" s="7"/>
      <c r="M149" s="8"/>
      <c r="N149" s="10"/>
      <c r="O149" s="7"/>
      <c r="P149" s="7"/>
    </row>
    <row r="150" spans="1:16" ht="30.6" customHeight="1">
      <c r="A150" s="6" t="s">
        <v>217</v>
      </c>
      <c r="B150" s="7"/>
      <c r="C150" s="7">
        <v>2</v>
      </c>
      <c r="D150" s="7">
        <v>212</v>
      </c>
      <c r="E150" s="7">
        <v>490.9</v>
      </c>
      <c r="F150" s="7" t="s">
        <v>28</v>
      </c>
      <c r="G150" s="8"/>
      <c r="H150" s="8"/>
      <c r="I150" s="7"/>
      <c r="J150" s="7" t="s">
        <v>218</v>
      </c>
      <c r="K150" s="7"/>
      <c r="L150" s="7"/>
      <c r="M150" s="8"/>
      <c r="N150" s="10"/>
      <c r="O150" s="7"/>
      <c r="P150" s="7"/>
    </row>
    <row r="151" spans="1:16" ht="30.6" customHeight="1">
      <c r="A151" s="6" t="s">
        <v>217</v>
      </c>
      <c r="B151" s="7" t="s">
        <v>33</v>
      </c>
      <c r="C151" s="7">
        <v>2</v>
      </c>
      <c r="D151" s="7">
        <v>214</v>
      </c>
      <c r="E151" s="7">
        <v>622.4</v>
      </c>
      <c r="F151" s="7" t="s">
        <v>28</v>
      </c>
      <c r="G151" s="8">
        <v>616</v>
      </c>
      <c r="H151" s="8">
        <v>1004</v>
      </c>
      <c r="I151" s="7">
        <v>3.4</v>
      </c>
      <c r="J151" s="7">
        <v>11</v>
      </c>
      <c r="K151" s="7"/>
      <c r="L151" s="7"/>
      <c r="M151" s="8"/>
      <c r="N151" s="10"/>
      <c r="O151" s="7"/>
      <c r="P151" s="7"/>
    </row>
    <row r="152" spans="1:16" ht="30.6" customHeight="1">
      <c r="A152" s="6" t="s">
        <v>219</v>
      </c>
      <c r="B152" s="7"/>
      <c r="C152" s="7">
        <v>2</v>
      </c>
      <c r="D152" s="7">
        <v>161</v>
      </c>
      <c r="E152" s="7">
        <v>364.5</v>
      </c>
      <c r="F152" s="7" t="s">
        <v>28</v>
      </c>
      <c r="G152" s="8">
        <v>360</v>
      </c>
      <c r="H152" s="8">
        <v>1</v>
      </c>
      <c r="I152" s="7"/>
      <c r="J152" s="7"/>
      <c r="K152" s="7"/>
      <c r="L152" s="7"/>
      <c r="M152" s="8"/>
      <c r="N152" s="10"/>
      <c r="O152" s="7"/>
      <c r="P152" s="7"/>
    </row>
    <row r="153" spans="1:16" ht="30.6" customHeight="1">
      <c r="A153" s="6" t="s">
        <v>220</v>
      </c>
      <c r="B153" s="7" t="s">
        <v>33</v>
      </c>
      <c r="C153" s="7">
        <v>2</v>
      </c>
      <c r="D153" s="7">
        <v>259</v>
      </c>
      <c r="E153" s="7">
        <v>295.8</v>
      </c>
      <c r="F153" s="7" t="s">
        <v>28</v>
      </c>
      <c r="G153" s="8">
        <v>295</v>
      </c>
      <c r="H153" s="8">
        <v>590</v>
      </c>
      <c r="I153" s="7">
        <v>2</v>
      </c>
      <c r="J153" s="7">
        <v>7</v>
      </c>
      <c r="K153" s="7"/>
      <c r="L153" s="7"/>
      <c r="M153" s="8"/>
      <c r="N153" s="10"/>
      <c r="O153" s="7"/>
      <c r="P153" s="7"/>
    </row>
    <row r="154" spans="1:16" ht="30.6" customHeight="1">
      <c r="A154" s="6" t="s">
        <v>221</v>
      </c>
      <c r="B154" s="7" t="s">
        <v>222</v>
      </c>
      <c r="C154" s="7">
        <v>2</v>
      </c>
      <c r="D154" s="7">
        <v>52</v>
      </c>
      <c r="E154" s="7">
        <v>397.4</v>
      </c>
      <c r="F154" s="7" t="s">
        <v>28</v>
      </c>
      <c r="G154" s="8">
        <v>397</v>
      </c>
      <c r="H154" s="8">
        <v>1955</v>
      </c>
      <c r="I154" s="7">
        <v>6</v>
      </c>
      <c r="J154" s="7">
        <v>12</v>
      </c>
      <c r="K154" s="7"/>
      <c r="L154" s="7"/>
      <c r="M154" s="8"/>
      <c r="N154" s="10"/>
      <c r="O154" s="7"/>
      <c r="P154" s="7"/>
    </row>
    <row r="155" spans="1:16" ht="30.6" customHeight="1">
      <c r="A155" s="6" t="s">
        <v>221</v>
      </c>
      <c r="B155" s="7"/>
      <c r="C155" s="7">
        <v>2</v>
      </c>
      <c r="D155" s="7">
        <v>65</v>
      </c>
      <c r="E155" s="7">
        <v>374.8</v>
      </c>
      <c r="F155" s="7" t="s">
        <v>28</v>
      </c>
      <c r="G155" s="8">
        <v>395</v>
      </c>
      <c r="H155" s="8"/>
      <c r="I155" s="7"/>
      <c r="J155" s="7"/>
      <c r="K155" s="7"/>
      <c r="L155" s="7"/>
      <c r="M155" s="8"/>
      <c r="N155" s="10"/>
      <c r="O155" s="7"/>
      <c r="P155" s="7"/>
    </row>
    <row r="156" spans="1:16" ht="30.6" customHeight="1">
      <c r="A156" s="6" t="s">
        <v>223</v>
      </c>
      <c r="B156" s="7" t="s">
        <v>224</v>
      </c>
      <c r="C156" s="7">
        <v>2</v>
      </c>
      <c r="D156" s="7">
        <v>70</v>
      </c>
      <c r="E156" s="7">
        <v>593.4</v>
      </c>
      <c r="F156" s="7" t="s">
        <v>28</v>
      </c>
      <c r="G156" s="8">
        <v>611</v>
      </c>
      <c r="H156" s="8">
        <v>1534</v>
      </c>
      <c r="I156" s="7">
        <v>5</v>
      </c>
      <c r="J156" s="7">
        <v>13</v>
      </c>
      <c r="K156" s="7"/>
      <c r="L156" s="7"/>
      <c r="M156" s="8"/>
      <c r="N156" s="10"/>
      <c r="O156" s="7"/>
      <c r="P156" s="7"/>
    </row>
    <row r="157" spans="1:16" ht="30.6" customHeight="1">
      <c r="A157" s="6" t="s">
        <v>225</v>
      </c>
      <c r="B157" s="7"/>
      <c r="C157" s="7">
        <v>2</v>
      </c>
      <c r="D157" s="7">
        <v>291</v>
      </c>
      <c r="E157" s="7">
        <v>594.6</v>
      </c>
      <c r="F157" s="7" t="s">
        <v>28</v>
      </c>
      <c r="G157" s="8">
        <v>582</v>
      </c>
      <c r="H157" s="8">
        <v>582</v>
      </c>
      <c r="I157" s="7">
        <v>1.7</v>
      </c>
      <c r="J157" s="7">
        <v>9</v>
      </c>
      <c r="K157" s="7"/>
      <c r="L157" s="7"/>
      <c r="M157" s="8"/>
      <c r="N157" s="10"/>
      <c r="O157" s="7"/>
      <c r="P157" s="7"/>
    </row>
    <row r="158" spans="1:16" ht="30.6" customHeight="1">
      <c r="A158" s="6" t="s">
        <v>226</v>
      </c>
      <c r="B158" s="7" t="s">
        <v>33</v>
      </c>
      <c r="C158" s="7">
        <v>2</v>
      </c>
      <c r="D158" s="7">
        <v>127</v>
      </c>
      <c r="E158" s="7">
        <v>298.39999999999998</v>
      </c>
      <c r="F158" s="7" t="s">
        <v>28</v>
      </c>
      <c r="G158" s="8">
        <v>295</v>
      </c>
      <c r="H158" s="8">
        <v>590</v>
      </c>
      <c r="I158" s="7">
        <v>2</v>
      </c>
      <c r="J158" s="7"/>
      <c r="K158" s="7"/>
      <c r="L158" s="7"/>
      <c r="M158" s="8"/>
      <c r="N158" s="10"/>
      <c r="O158" s="7"/>
      <c r="P158" s="7"/>
    </row>
    <row r="159" spans="1:16" ht="30.6" customHeight="1">
      <c r="A159" s="6" t="s">
        <v>227</v>
      </c>
      <c r="B159" s="7" t="s">
        <v>228</v>
      </c>
      <c r="C159" s="7">
        <v>2</v>
      </c>
      <c r="D159" s="7">
        <v>22</v>
      </c>
      <c r="E159" s="7">
        <v>827.3</v>
      </c>
      <c r="F159" s="7" t="s">
        <v>28</v>
      </c>
      <c r="G159" s="8">
        <v>856</v>
      </c>
      <c r="H159" s="8">
        <v>2346</v>
      </c>
      <c r="I159" s="7">
        <v>8</v>
      </c>
      <c r="J159" s="7">
        <v>14</v>
      </c>
      <c r="K159" s="7"/>
      <c r="L159" s="7"/>
      <c r="M159" s="8"/>
      <c r="N159" s="10"/>
      <c r="O159" s="7"/>
      <c r="P159" s="7"/>
    </row>
    <row r="160" spans="1:16" ht="30.6" customHeight="1">
      <c r="A160" s="6" t="s">
        <v>229</v>
      </c>
      <c r="B160" s="7" t="s">
        <v>230</v>
      </c>
      <c r="C160" s="7">
        <v>2</v>
      </c>
      <c r="D160" s="7">
        <v>285</v>
      </c>
      <c r="E160" s="7">
        <v>591.29999999999995</v>
      </c>
      <c r="F160" s="7" t="s">
        <v>28</v>
      </c>
      <c r="G160" s="8">
        <v>532</v>
      </c>
      <c r="H160" s="8">
        <v>1263.4000000000001</v>
      </c>
      <c r="I160" s="7">
        <v>4.28</v>
      </c>
      <c r="J160" s="7">
        <v>11</v>
      </c>
      <c r="K160" s="7"/>
      <c r="L160" s="7"/>
      <c r="M160" s="8"/>
      <c r="N160" s="10"/>
      <c r="O160" s="7"/>
      <c r="P160" s="7"/>
    </row>
    <row r="161" spans="1:16" ht="30.6" customHeight="1">
      <c r="A161" s="6" t="s">
        <v>231</v>
      </c>
      <c r="B161" s="7" t="s">
        <v>33</v>
      </c>
      <c r="C161" s="7">
        <v>2</v>
      </c>
      <c r="D161" s="7">
        <v>190</v>
      </c>
      <c r="E161" s="7">
        <v>323.89999999999998</v>
      </c>
      <c r="F161" s="7" t="s">
        <v>28</v>
      </c>
      <c r="G161" s="8">
        <v>316</v>
      </c>
      <c r="H161" s="8">
        <v>632</v>
      </c>
      <c r="I161" s="7">
        <v>2.1</v>
      </c>
      <c r="J161" s="7">
        <v>7</v>
      </c>
      <c r="K161" s="7"/>
      <c r="L161" s="7"/>
      <c r="M161" s="8"/>
      <c r="N161" s="10"/>
      <c r="O161" s="7"/>
      <c r="P161" s="7"/>
    </row>
    <row r="162" spans="1:16" ht="30.6" customHeight="1">
      <c r="A162" s="6" t="s">
        <v>232</v>
      </c>
      <c r="B162" s="7" t="s">
        <v>33</v>
      </c>
      <c r="C162" s="7">
        <v>2</v>
      </c>
      <c r="D162" s="7">
        <v>236</v>
      </c>
      <c r="E162" s="7">
        <v>745.5</v>
      </c>
      <c r="F162" s="7" t="s">
        <v>28</v>
      </c>
      <c r="G162" s="8">
        <v>739</v>
      </c>
      <c r="H162" s="8">
        <v>1203</v>
      </c>
      <c r="I162" s="7">
        <v>4</v>
      </c>
      <c r="J162" s="7">
        <v>10</v>
      </c>
      <c r="K162" s="7"/>
      <c r="L162" s="7"/>
      <c r="M162" s="8"/>
      <c r="N162" s="10"/>
      <c r="O162" s="7"/>
      <c r="P162" s="7"/>
    </row>
    <row r="163" spans="1:16" ht="30.6" customHeight="1">
      <c r="A163" s="6" t="s">
        <v>233</v>
      </c>
      <c r="B163" s="7" t="s">
        <v>33</v>
      </c>
      <c r="C163" s="7">
        <v>2</v>
      </c>
      <c r="D163" s="7">
        <v>253</v>
      </c>
      <c r="E163" s="7">
        <v>616.79999999999995</v>
      </c>
      <c r="F163" s="7" t="s">
        <v>28</v>
      </c>
      <c r="G163" s="8">
        <v>616</v>
      </c>
      <c r="H163" s="8">
        <v>1004</v>
      </c>
      <c r="I163" s="7">
        <v>3.4</v>
      </c>
      <c r="J163" s="7">
        <v>18</v>
      </c>
      <c r="K163" s="7"/>
      <c r="L163" s="7"/>
      <c r="M163" s="8"/>
      <c r="N163" s="10"/>
      <c r="O163" s="7"/>
      <c r="P163" s="7"/>
    </row>
    <row r="164" spans="1:16" ht="30.6" customHeight="1">
      <c r="A164" s="6" t="s">
        <v>234</v>
      </c>
      <c r="B164" s="7" t="s">
        <v>33</v>
      </c>
      <c r="C164" s="7">
        <v>2</v>
      </c>
      <c r="D164" s="7">
        <v>231</v>
      </c>
      <c r="E164" s="7">
        <v>870.4</v>
      </c>
      <c r="F164" s="7" t="s">
        <v>28</v>
      </c>
      <c r="G164" s="8">
        <v>856</v>
      </c>
      <c r="H164" s="8">
        <v>1420</v>
      </c>
      <c r="I164" s="7">
        <v>4</v>
      </c>
      <c r="J164" s="7">
        <v>10</v>
      </c>
      <c r="K164" s="7"/>
      <c r="L164" s="7"/>
      <c r="M164" s="8"/>
      <c r="N164" s="10"/>
      <c r="O164" s="7"/>
      <c r="P164" s="7"/>
    </row>
    <row r="165" spans="1:16" ht="30.6" customHeight="1">
      <c r="A165" s="6" t="s">
        <v>235</v>
      </c>
      <c r="B165" s="7" t="s">
        <v>33</v>
      </c>
      <c r="C165" s="7">
        <v>2</v>
      </c>
      <c r="D165" s="7">
        <v>230</v>
      </c>
      <c r="E165" s="7">
        <v>747.9</v>
      </c>
      <c r="F165" s="7" t="s">
        <v>28</v>
      </c>
      <c r="G165" s="8">
        <v>733</v>
      </c>
      <c r="H165" s="8">
        <v>1199</v>
      </c>
      <c r="I165" s="7">
        <v>4</v>
      </c>
      <c r="J165" s="7">
        <v>16</v>
      </c>
      <c r="K165" s="7"/>
      <c r="L165" s="7"/>
      <c r="M165" s="8"/>
      <c r="N165" s="10"/>
      <c r="O165" s="7"/>
      <c r="P165" s="7"/>
    </row>
    <row r="166" spans="1:16" ht="30.6" customHeight="1">
      <c r="A166" s="6" t="s">
        <v>236</v>
      </c>
      <c r="B166" s="7"/>
      <c r="C166" s="7">
        <v>2</v>
      </c>
      <c r="D166" s="7">
        <v>294</v>
      </c>
      <c r="E166" s="7">
        <v>336.3</v>
      </c>
      <c r="F166" s="7" t="s">
        <v>28</v>
      </c>
      <c r="G166" s="8">
        <v>320</v>
      </c>
      <c r="H166" s="8">
        <v>674</v>
      </c>
      <c r="I166" s="7">
        <v>2</v>
      </c>
      <c r="J166" s="7">
        <v>3</v>
      </c>
      <c r="K166" s="7"/>
      <c r="L166" s="7"/>
      <c r="M166" s="8"/>
      <c r="N166" s="10"/>
      <c r="O166" s="7"/>
      <c r="P166" s="7"/>
    </row>
    <row r="167" spans="1:16" ht="30.6" customHeight="1">
      <c r="A167" s="6" t="s">
        <v>237</v>
      </c>
      <c r="B167" s="7" t="s">
        <v>42</v>
      </c>
      <c r="C167" s="7">
        <v>2</v>
      </c>
      <c r="D167" s="7">
        <v>67</v>
      </c>
      <c r="E167" s="7">
        <v>815</v>
      </c>
      <c r="F167" s="7" t="s">
        <v>28</v>
      </c>
      <c r="G167" s="8">
        <v>856</v>
      </c>
      <c r="H167" s="8">
        <v>2394</v>
      </c>
      <c r="I167" s="7">
        <v>8.1</v>
      </c>
      <c r="J167" s="7">
        <v>11</v>
      </c>
      <c r="K167" s="7"/>
      <c r="L167" s="7"/>
      <c r="M167" s="8"/>
      <c r="N167" s="10"/>
      <c r="O167" s="7"/>
      <c r="P167" s="7"/>
    </row>
    <row r="168" spans="1:16" ht="30.6" customHeight="1">
      <c r="A168" s="6" t="s">
        <v>238</v>
      </c>
      <c r="B168" s="7"/>
      <c r="C168" s="7">
        <v>2</v>
      </c>
      <c r="D168" s="7">
        <v>269</v>
      </c>
      <c r="E168" s="7">
        <v>306.3</v>
      </c>
      <c r="F168" s="7" t="s">
        <v>28</v>
      </c>
      <c r="G168" s="8">
        <v>295</v>
      </c>
      <c r="H168" s="8">
        <v>295</v>
      </c>
      <c r="I168" s="7">
        <v>1</v>
      </c>
      <c r="J168" s="7"/>
      <c r="K168" s="7"/>
      <c r="L168" s="7"/>
      <c r="M168" s="8"/>
      <c r="N168" s="10"/>
      <c r="O168" s="7"/>
      <c r="P168" s="7"/>
    </row>
    <row r="169" spans="1:16" ht="30.6" customHeight="1">
      <c r="A169" s="6" t="s">
        <v>239</v>
      </c>
      <c r="B169" s="7"/>
      <c r="C169" s="7">
        <v>2</v>
      </c>
      <c r="D169" s="7">
        <v>117</v>
      </c>
      <c r="E169" s="7">
        <v>863.6</v>
      </c>
      <c r="F169" s="7" t="s">
        <v>28</v>
      </c>
      <c r="G169" s="8">
        <v>856</v>
      </c>
      <c r="H169" s="8">
        <v>2134</v>
      </c>
      <c r="I169" s="7">
        <v>7.2</v>
      </c>
      <c r="J169" s="7">
        <v>24</v>
      </c>
      <c r="K169" s="7"/>
      <c r="L169" s="7"/>
      <c r="M169" s="8"/>
      <c r="N169" s="10"/>
      <c r="O169" s="7"/>
      <c r="P169" s="7"/>
    </row>
    <row r="170" spans="1:16" ht="30.6" customHeight="1">
      <c r="A170" s="6" t="s">
        <v>240</v>
      </c>
      <c r="B170" s="7" t="s">
        <v>33</v>
      </c>
      <c r="C170" s="7">
        <v>2</v>
      </c>
      <c r="D170" s="7">
        <v>244</v>
      </c>
      <c r="E170" s="7">
        <v>325.8</v>
      </c>
      <c r="F170" s="7" t="s">
        <v>28</v>
      </c>
      <c r="G170" s="8">
        <v>325</v>
      </c>
      <c r="H170" s="8">
        <v>650</v>
      </c>
      <c r="I170" s="7">
        <v>2</v>
      </c>
      <c r="J170" s="7">
        <v>7</v>
      </c>
      <c r="K170" s="7"/>
      <c r="L170" s="7"/>
      <c r="M170" s="8"/>
      <c r="N170" s="10"/>
      <c r="O170" s="7"/>
      <c r="P170" s="7"/>
    </row>
    <row r="171" spans="1:16" ht="30.6" customHeight="1">
      <c r="A171" s="6" t="s">
        <v>241</v>
      </c>
      <c r="B171" s="7" t="s">
        <v>33</v>
      </c>
      <c r="C171" s="7">
        <v>2</v>
      </c>
      <c r="D171" s="7">
        <v>264</v>
      </c>
      <c r="E171" s="7">
        <v>753.1</v>
      </c>
      <c r="F171" s="7" t="s">
        <v>28</v>
      </c>
      <c r="G171" s="8">
        <v>743</v>
      </c>
      <c r="H171" s="8">
        <v>1209</v>
      </c>
      <c r="I171" s="7">
        <v>4</v>
      </c>
      <c r="J171" s="7">
        <v>16</v>
      </c>
      <c r="K171" s="7"/>
      <c r="L171" s="7"/>
      <c r="M171" s="8"/>
      <c r="N171" s="10"/>
      <c r="O171" s="7"/>
      <c r="P171" s="7"/>
    </row>
    <row r="172" spans="1:16" ht="30.6" customHeight="1">
      <c r="A172" s="6" t="s">
        <v>242</v>
      </c>
      <c r="B172" s="7" t="s">
        <v>33</v>
      </c>
      <c r="C172" s="7">
        <v>2</v>
      </c>
      <c r="D172" s="7">
        <v>301</v>
      </c>
      <c r="E172" s="7">
        <v>602</v>
      </c>
      <c r="F172" s="7" t="s">
        <v>28</v>
      </c>
      <c r="G172" s="8">
        <v>589</v>
      </c>
      <c r="H172" s="8">
        <v>1677</v>
      </c>
      <c r="I172" s="7"/>
      <c r="J172" s="7">
        <v>17</v>
      </c>
      <c r="K172" s="7"/>
      <c r="L172" s="7"/>
      <c r="M172" s="8"/>
      <c r="N172" s="10"/>
      <c r="O172" s="7"/>
      <c r="P172" s="7"/>
    </row>
    <row r="173" spans="1:16" ht="30.6" customHeight="1">
      <c r="A173" s="6" t="s">
        <v>243</v>
      </c>
      <c r="B173" s="7" t="s">
        <v>244</v>
      </c>
      <c r="C173" s="7">
        <v>2</v>
      </c>
      <c r="D173" s="7">
        <v>102</v>
      </c>
      <c r="E173" s="7">
        <v>333.5</v>
      </c>
      <c r="F173" s="7" t="s">
        <v>28</v>
      </c>
      <c r="G173" s="8">
        <v>327</v>
      </c>
      <c r="H173" s="8">
        <v>981</v>
      </c>
      <c r="I173" s="7">
        <v>3</v>
      </c>
      <c r="J173" s="7">
        <v>11</v>
      </c>
      <c r="K173" s="7"/>
      <c r="L173" s="7"/>
      <c r="M173" s="8"/>
      <c r="N173" s="10"/>
      <c r="O173" s="7"/>
      <c r="P173" s="7"/>
    </row>
    <row r="174" spans="1:16" ht="30.6" customHeight="1">
      <c r="A174" s="6" t="s">
        <v>245</v>
      </c>
      <c r="B174" s="7" t="s">
        <v>33</v>
      </c>
      <c r="C174" s="7">
        <v>2</v>
      </c>
      <c r="D174" s="7">
        <v>98</v>
      </c>
      <c r="E174" s="7">
        <v>498.2</v>
      </c>
      <c r="F174" s="7" t="s">
        <v>28</v>
      </c>
      <c r="G174" s="8">
        <v>489</v>
      </c>
      <c r="H174" s="8">
        <v>1050</v>
      </c>
      <c r="I174" s="7">
        <v>3.5</v>
      </c>
      <c r="J174" s="7">
        <v>9</v>
      </c>
      <c r="K174" s="7"/>
      <c r="L174" s="7"/>
      <c r="M174" s="8"/>
      <c r="N174" s="10"/>
      <c r="O174" s="7"/>
      <c r="P174" s="7"/>
    </row>
    <row r="175" spans="1:16" ht="30.6" customHeight="1">
      <c r="A175" s="6" t="s">
        <v>246</v>
      </c>
      <c r="B175" s="7" t="s">
        <v>247</v>
      </c>
      <c r="C175" s="7">
        <v>2</v>
      </c>
      <c r="D175" s="7">
        <v>3</v>
      </c>
      <c r="E175" s="7">
        <v>720.1</v>
      </c>
      <c r="F175" s="7" t="s">
        <v>28</v>
      </c>
      <c r="G175" s="8">
        <v>720</v>
      </c>
      <c r="H175" s="8">
        <v>1445</v>
      </c>
      <c r="I175" s="7">
        <v>8</v>
      </c>
      <c r="J175" s="7">
        <v>11</v>
      </c>
      <c r="K175" s="7"/>
      <c r="L175" s="7"/>
      <c r="M175" s="8"/>
      <c r="N175" s="10"/>
      <c r="O175" s="7"/>
      <c r="P175" s="7"/>
    </row>
    <row r="176" spans="1:16" ht="30.6" customHeight="1">
      <c r="A176" s="6" t="s">
        <v>248</v>
      </c>
      <c r="B176" s="7" t="s">
        <v>42</v>
      </c>
      <c r="C176" s="7">
        <v>2</v>
      </c>
      <c r="D176" s="7">
        <v>39</v>
      </c>
      <c r="E176" s="7">
        <v>312.5</v>
      </c>
      <c r="F176" s="7" t="s">
        <v>28</v>
      </c>
      <c r="G176" s="8">
        <v>315</v>
      </c>
      <c r="H176" s="8">
        <v>945</v>
      </c>
      <c r="I176" s="7">
        <v>3.2</v>
      </c>
      <c r="J176" s="7">
        <v>7</v>
      </c>
      <c r="K176" s="7"/>
      <c r="L176" s="7"/>
      <c r="M176" s="8"/>
      <c r="N176" s="10"/>
      <c r="O176" s="7"/>
      <c r="P176" s="7"/>
    </row>
    <row r="177" spans="1:16" ht="30.6" customHeight="1">
      <c r="A177" s="6" t="s">
        <v>249</v>
      </c>
      <c r="B177" s="7" t="s">
        <v>250</v>
      </c>
      <c r="C177" s="7">
        <v>2</v>
      </c>
      <c r="D177" s="7">
        <v>31</v>
      </c>
      <c r="E177" s="7">
        <v>715.9</v>
      </c>
      <c r="F177" s="7" t="s">
        <v>28</v>
      </c>
      <c r="G177" s="8">
        <v>733</v>
      </c>
      <c r="H177" s="8">
        <v>1770</v>
      </c>
      <c r="I177" s="7">
        <v>6</v>
      </c>
      <c r="J177" s="7">
        <v>14</v>
      </c>
      <c r="K177" s="7"/>
      <c r="L177" s="7"/>
      <c r="M177" s="8"/>
      <c r="N177" s="10"/>
      <c r="O177" s="7"/>
      <c r="P177" s="7"/>
    </row>
    <row r="178" spans="1:16" ht="30.6" customHeight="1">
      <c r="A178" s="6" t="s">
        <v>251</v>
      </c>
      <c r="B178" s="7" t="s">
        <v>42</v>
      </c>
      <c r="C178" s="7">
        <v>2</v>
      </c>
      <c r="D178" s="7">
        <v>100</v>
      </c>
      <c r="E178" s="7">
        <v>1118.2</v>
      </c>
      <c r="F178" s="7" t="s">
        <v>28</v>
      </c>
      <c r="G178" s="8">
        <v>1253</v>
      </c>
      <c r="H178" s="8">
        <v>3073</v>
      </c>
      <c r="I178" s="7">
        <v>10.42</v>
      </c>
      <c r="J178" s="7">
        <v>24</v>
      </c>
      <c r="K178" s="7"/>
      <c r="L178" s="7"/>
      <c r="M178" s="8"/>
      <c r="N178" s="10"/>
      <c r="O178" s="7"/>
      <c r="P178" s="7"/>
    </row>
    <row r="179" spans="1:16" ht="30.6" customHeight="1">
      <c r="A179" s="6" t="s">
        <v>252</v>
      </c>
      <c r="B179" s="7" t="s">
        <v>33</v>
      </c>
      <c r="C179" s="7">
        <v>2</v>
      </c>
      <c r="D179" s="7">
        <v>167</v>
      </c>
      <c r="E179" s="7">
        <v>348.8</v>
      </c>
      <c r="F179" s="7" t="s">
        <v>28</v>
      </c>
      <c r="G179" s="8">
        <v>342</v>
      </c>
      <c r="H179" s="8">
        <v>684</v>
      </c>
      <c r="I179" s="7">
        <v>2.2999999999999998</v>
      </c>
      <c r="J179" s="7">
        <v>7</v>
      </c>
      <c r="K179" s="7"/>
      <c r="L179" s="7"/>
      <c r="M179" s="8"/>
      <c r="N179" s="10"/>
      <c r="O179" s="7"/>
      <c r="P179" s="7"/>
    </row>
    <row r="180" spans="1:16" ht="30.6" customHeight="1">
      <c r="A180" s="6" t="s">
        <v>253</v>
      </c>
      <c r="B180" s="7" t="s">
        <v>33</v>
      </c>
      <c r="C180" s="7">
        <v>2</v>
      </c>
      <c r="D180" s="7">
        <v>306</v>
      </c>
      <c r="E180" s="7">
        <v>346.8</v>
      </c>
      <c r="F180" s="7" t="s">
        <v>28</v>
      </c>
      <c r="G180" s="8">
        <v>342</v>
      </c>
      <c r="H180" s="8">
        <v>684</v>
      </c>
      <c r="I180" s="7">
        <v>2</v>
      </c>
      <c r="J180" s="7">
        <v>8</v>
      </c>
      <c r="K180" s="7"/>
      <c r="L180" s="7"/>
      <c r="M180" s="8"/>
      <c r="N180" s="10"/>
      <c r="O180" s="7"/>
      <c r="P180" s="7"/>
    </row>
    <row r="181" spans="1:16" ht="30.6" customHeight="1">
      <c r="A181" s="6" t="s">
        <v>254</v>
      </c>
      <c r="B181" s="7"/>
      <c r="C181" s="7">
        <v>2</v>
      </c>
      <c r="D181" s="7">
        <v>164</v>
      </c>
      <c r="E181" s="7">
        <v>297.3</v>
      </c>
      <c r="F181" s="7" t="s">
        <v>28</v>
      </c>
      <c r="G181" s="8">
        <v>342</v>
      </c>
      <c r="H181" s="8">
        <v>342</v>
      </c>
      <c r="I181" s="7">
        <v>1.1000000000000001</v>
      </c>
      <c r="J181" s="7"/>
      <c r="K181" s="7"/>
      <c r="L181" s="7"/>
      <c r="M181" s="8"/>
      <c r="N181" s="10"/>
      <c r="O181" s="7"/>
      <c r="P181" s="7"/>
    </row>
    <row r="182" spans="1:16" ht="30.6" customHeight="1">
      <c r="A182" s="6" t="s">
        <v>255</v>
      </c>
      <c r="B182" s="7" t="s">
        <v>256</v>
      </c>
      <c r="C182" s="7">
        <v>2</v>
      </c>
      <c r="D182" s="7">
        <v>58</v>
      </c>
      <c r="E182" s="7">
        <v>343.2</v>
      </c>
      <c r="F182" s="7" t="s">
        <v>28</v>
      </c>
      <c r="G182" s="8">
        <v>388</v>
      </c>
      <c r="H182" s="8">
        <v>1788</v>
      </c>
      <c r="I182" s="7">
        <v>6</v>
      </c>
      <c r="J182" s="7">
        <v>16</v>
      </c>
      <c r="K182" s="7"/>
      <c r="L182" s="7"/>
      <c r="M182" s="8"/>
      <c r="N182" s="10"/>
      <c r="O182" s="7"/>
      <c r="P182" s="7"/>
    </row>
    <row r="183" spans="1:16" ht="30.6" customHeight="1">
      <c r="A183" s="6" t="s">
        <v>255</v>
      </c>
      <c r="B183" s="7"/>
      <c r="C183" s="7">
        <v>2</v>
      </c>
      <c r="D183" s="7">
        <v>118</v>
      </c>
      <c r="E183" s="7">
        <v>619.79999999999995</v>
      </c>
      <c r="F183" s="7" t="s">
        <v>28</v>
      </c>
      <c r="G183" s="8">
        <v>616</v>
      </c>
      <c r="H183" s="8"/>
      <c r="I183" s="7"/>
      <c r="J183" s="7"/>
      <c r="K183" s="7"/>
      <c r="L183" s="7"/>
      <c r="M183" s="8"/>
      <c r="N183" s="10"/>
      <c r="O183" s="7"/>
      <c r="P183" s="7"/>
    </row>
    <row r="184" spans="1:16" ht="30.6" customHeight="1">
      <c r="A184" s="6" t="s">
        <v>257</v>
      </c>
      <c r="B184" s="7" t="s">
        <v>258</v>
      </c>
      <c r="C184" s="7">
        <v>2</v>
      </c>
      <c r="D184" s="7">
        <v>48</v>
      </c>
      <c r="E184" s="7">
        <v>490.4</v>
      </c>
      <c r="F184" s="7" t="s">
        <v>28</v>
      </c>
      <c r="G184" s="8">
        <v>489</v>
      </c>
      <c r="H184" s="8">
        <v>1368</v>
      </c>
      <c r="I184" s="7">
        <v>4</v>
      </c>
      <c r="J184" s="7">
        <v>6</v>
      </c>
      <c r="K184" s="7"/>
      <c r="L184" s="7"/>
      <c r="M184" s="8"/>
      <c r="N184" s="10"/>
      <c r="O184" s="7"/>
      <c r="P184" s="7"/>
    </row>
    <row r="185" spans="1:16" ht="30.6" customHeight="1">
      <c r="A185" s="6" t="s">
        <v>259</v>
      </c>
      <c r="B185" s="7" t="s">
        <v>33</v>
      </c>
      <c r="C185" s="7">
        <v>2</v>
      </c>
      <c r="D185" s="7">
        <v>147</v>
      </c>
      <c r="E185" s="7">
        <v>856.4</v>
      </c>
      <c r="F185" s="7" t="s">
        <v>28</v>
      </c>
      <c r="G185" s="8">
        <v>856</v>
      </c>
      <c r="H185" s="8">
        <v>1695</v>
      </c>
      <c r="I185" s="7">
        <v>5.7</v>
      </c>
      <c r="J185" s="7">
        <v>19</v>
      </c>
      <c r="K185" s="7"/>
      <c r="L185" s="7"/>
      <c r="M185" s="8"/>
      <c r="N185" s="10"/>
      <c r="O185" s="7"/>
      <c r="P185" s="7"/>
    </row>
    <row r="186" spans="1:16" ht="30.6" customHeight="1">
      <c r="A186" s="6" t="s">
        <v>259</v>
      </c>
      <c r="B186" s="7"/>
      <c r="C186" s="7">
        <v>2</v>
      </c>
      <c r="D186" s="7">
        <v>234</v>
      </c>
      <c r="E186" s="7">
        <v>858.7</v>
      </c>
      <c r="F186" s="7" t="s">
        <v>28</v>
      </c>
      <c r="G186" s="8">
        <v>839</v>
      </c>
      <c r="H186" s="8"/>
      <c r="I186" s="7"/>
      <c r="J186" s="7"/>
      <c r="K186" s="7"/>
      <c r="L186" s="7"/>
      <c r="M186" s="8"/>
      <c r="N186" s="10"/>
      <c r="O186" s="7"/>
      <c r="P186" s="7"/>
    </row>
    <row r="187" spans="1:16" ht="30.6" customHeight="1">
      <c r="A187" s="6" t="s">
        <v>260</v>
      </c>
      <c r="B187" s="7" t="s">
        <v>33</v>
      </c>
      <c r="C187" s="7">
        <v>2</v>
      </c>
      <c r="D187" s="7">
        <v>261</v>
      </c>
      <c r="E187" s="7">
        <v>297.3</v>
      </c>
      <c r="F187" s="7" t="s">
        <v>28</v>
      </c>
      <c r="G187" s="8">
        <v>733</v>
      </c>
      <c r="H187" s="8">
        <v>1199</v>
      </c>
      <c r="I187" s="7">
        <v>4</v>
      </c>
      <c r="J187" s="7">
        <v>9</v>
      </c>
      <c r="K187" s="7"/>
      <c r="L187" s="7"/>
      <c r="M187" s="8"/>
      <c r="N187" s="10"/>
      <c r="O187" s="7"/>
      <c r="P187" s="7"/>
    </row>
    <row r="188" spans="1:16" ht="30.6" customHeight="1">
      <c r="A188" s="6" t="s">
        <v>261</v>
      </c>
      <c r="B188" s="7" t="s">
        <v>262</v>
      </c>
      <c r="C188" s="7">
        <v>2</v>
      </c>
      <c r="D188" s="7">
        <v>130</v>
      </c>
      <c r="E188" s="7">
        <v>297.60000000000002</v>
      </c>
      <c r="F188" s="7" t="s">
        <v>28</v>
      </c>
      <c r="G188" s="8">
        <v>295</v>
      </c>
      <c r="H188" s="8">
        <v>932</v>
      </c>
      <c r="I188" s="7">
        <v>3.1</v>
      </c>
      <c r="J188" s="7">
        <v>4</v>
      </c>
      <c r="K188" s="7"/>
      <c r="L188" s="7"/>
      <c r="M188" s="8"/>
      <c r="N188" s="10"/>
      <c r="O188" s="7"/>
      <c r="P188" s="7"/>
    </row>
    <row r="189" spans="1:16" ht="30.6" customHeight="1">
      <c r="A189" s="6" t="s">
        <v>261</v>
      </c>
      <c r="B189" s="7" t="s">
        <v>33</v>
      </c>
      <c r="C189" s="7">
        <v>2</v>
      </c>
      <c r="D189" s="7">
        <v>163</v>
      </c>
      <c r="E189" s="7">
        <v>350.8</v>
      </c>
      <c r="F189" s="7" t="s">
        <v>28</v>
      </c>
      <c r="G189" s="8">
        <v>342</v>
      </c>
      <c r="H189" s="8"/>
      <c r="I189" s="7"/>
      <c r="J189" s="7"/>
      <c r="K189" s="7"/>
      <c r="L189" s="7"/>
      <c r="M189" s="8"/>
      <c r="N189" s="10"/>
      <c r="O189" s="7"/>
      <c r="P189" s="7"/>
    </row>
    <row r="190" spans="1:16" ht="30.6" customHeight="1">
      <c r="A190" s="6" t="s">
        <v>263</v>
      </c>
      <c r="B190" s="7" t="s">
        <v>33</v>
      </c>
      <c r="C190" s="7">
        <v>2</v>
      </c>
      <c r="D190" s="7">
        <v>182</v>
      </c>
      <c r="E190" s="7">
        <v>500</v>
      </c>
      <c r="F190" s="7" t="s">
        <v>28</v>
      </c>
      <c r="G190" s="8">
        <v>489</v>
      </c>
      <c r="H190" s="8">
        <v>800</v>
      </c>
      <c r="I190" s="7">
        <v>2.7</v>
      </c>
      <c r="J190" s="7">
        <v>11</v>
      </c>
      <c r="K190" s="7"/>
      <c r="L190" s="7"/>
      <c r="M190" s="8"/>
      <c r="N190" s="10"/>
      <c r="O190" s="7"/>
      <c r="P190" s="7"/>
    </row>
    <row r="191" spans="1:16" ht="30.6" customHeight="1">
      <c r="A191" s="6" t="s">
        <v>264</v>
      </c>
      <c r="B191" s="7" t="s">
        <v>42</v>
      </c>
      <c r="C191" s="7">
        <v>2</v>
      </c>
      <c r="D191" s="7">
        <v>300</v>
      </c>
      <c r="E191" s="7">
        <v>719.3</v>
      </c>
      <c r="F191" s="7" t="s">
        <v>28</v>
      </c>
      <c r="G191" s="8">
        <v>707</v>
      </c>
      <c r="H191" s="8">
        <v>2009</v>
      </c>
      <c r="I191" s="7">
        <v>6</v>
      </c>
      <c r="J191" s="7">
        <v>15</v>
      </c>
      <c r="K191" s="7"/>
      <c r="L191" s="7"/>
      <c r="M191" s="8"/>
      <c r="N191" s="10"/>
      <c r="O191" s="7"/>
      <c r="P191" s="7"/>
    </row>
    <row r="192" spans="1:16" ht="30.6" customHeight="1">
      <c r="A192" s="6" t="s">
        <v>265</v>
      </c>
      <c r="B192" s="7" t="s">
        <v>266</v>
      </c>
      <c r="C192" s="7">
        <v>2</v>
      </c>
      <c r="D192" s="7">
        <v>95</v>
      </c>
      <c r="E192" s="7">
        <v>617.79999999999995</v>
      </c>
      <c r="F192" s="7" t="s">
        <v>28</v>
      </c>
      <c r="G192" s="8">
        <v>611</v>
      </c>
      <c r="H192" s="8">
        <v>1710</v>
      </c>
      <c r="I192" s="7">
        <v>5</v>
      </c>
      <c r="J192" s="7">
        <v>11</v>
      </c>
      <c r="K192" s="7"/>
      <c r="L192" s="7"/>
      <c r="M192" s="8"/>
      <c r="N192" s="10"/>
      <c r="O192" s="7"/>
      <c r="P192" s="7"/>
    </row>
    <row r="193" spans="1:16" ht="30.6" customHeight="1">
      <c r="A193" s="6" t="s">
        <v>267</v>
      </c>
      <c r="B193" s="7" t="s">
        <v>33</v>
      </c>
      <c r="C193" s="7">
        <v>2</v>
      </c>
      <c r="D193" s="7">
        <v>139</v>
      </c>
      <c r="E193" s="7">
        <v>905.5</v>
      </c>
      <c r="F193" s="7" t="s">
        <v>28</v>
      </c>
      <c r="G193" s="8">
        <v>881</v>
      </c>
      <c r="H193" s="8"/>
      <c r="I193" s="7"/>
      <c r="J193" s="7">
        <v>15</v>
      </c>
      <c r="K193" s="7"/>
      <c r="L193" s="7"/>
      <c r="M193" s="8"/>
      <c r="N193" s="10"/>
      <c r="O193" s="7"/>
      <c r="P193" s="7"/>
    </row>
    <row r="194" spans="1:16" ht="30.6" customHeight="1">
      <c r="A194" s="6" t="s">
        <v>267</v>
      </c>
      <c r="B194" s="7"/>
      <c r="C194" s="7">
        <v>2</v>
      </c>
      <c r="D194" s="7">
        <v>223</v>
      </c>
      <c r="E194" s="7">
        <v>863.7</v>
      </c>
      <c r="F194" s="7" t="s">
        <v>28</v>
      </c>
      <c r="G194" s="8">
        <v>856</v>
      </c>
      <c r="H194" s="8"/>
      <c r="I194" s="7"/>
      <c r="J194" s="7"/>
      <c r="K194" s="7"/>
      <c r="L194" s="7"/>
      <c r="M194" s="8"/>
      <c r="N194" s="10"/>
      <c r="O194" s="7"/>
      <c r="P194" s="7"/>
    </row>
    <row r="195" spans="1:16" ht="30.6" customHeight="1">
      <c r="A195" s="6" t="s">
        <v>268</v>
      </c>
      <c r="B195" s="7" t="s">
        <v>33</v>
      </c>
      <c r="C195" s="7">
        <v>2</v>
      </c>
      <c r="D195" s="7">
        <v>129</v>
      </c>
      <c r="E195" s="7">
        <v>303.60000000000002</v>
      </c>
      <c r="F195" s="7" t="s">
        <v>28</v>
      </c>
      <c r="G195" s="8">
        <v>313</v>
      </c>
      <c r="H195" s="8">
        <v>613</v>
      </c>
      <c r="I195" s="7">
        <v>2</v>
      </c>
      <c r="J195" s="7">
        <v>6</v>
      </c>
      <c r="K195" s="7"/>
      <c r="L195" s="7"/>
      <c r="M195" s="8"/>
      <c r="N195" s="10"/>
      <c r="O195" s="7"/>
      <c r="P195" s="7"/>
    </row>
    <row r="196" spans="1:16" ht="30.6" customHeight="1">
      <c r="A196" s="6" t="s">
        <v>269</v>
      </c>
      <c r="B196" s="7" t="s">
        <v>33</v>
      </c>
      <c r="C196" s="7">
        <v>2</v>
      </c>
      <c r="D196" s="7">
        <v>178</v>
      </c>
      <c r="E196" s="7">
        <v>494.3</v>
      </c>
      <c r="F196" s="7" t="s">
        <v>28</v>
      </c>
      <c r="G196" s="8">
        <v>489</v>
      </c>
      <c r="H196" s="8">
        <v>800</v>
      </c>
      <c r="I196" s="7">
        <v>2.7</v>
      </c>
      <c r="J196" s="7">
        <v>7</v>
      </c>
      <c r="K196" s="7"/>
      <c r="L196" s="7"/>
      <c r="M196" s="8"/>
      <c r="N196" s="10"/>
      <c r="O196" s="7"/>
      <c r="P196" s="7"/>
    </row>
    <row r="197" spans="1:16" ht="30.6" customHeight="1">
      <c r="A197" s="6" t="s">
        <v>270</v>
      </c>
      <c r="B197" s="7"/>
      <c r="C197" s="7">
        <v>2</v>
      </c>
      <c r="D197" s="7">
        <v>271</v>
      </c>
      <c r="E197" s="7">
        <v>306.89999999999998</v>
      </c>
      <c r="F197" s="7" t="s">
        <v>28</v>
      </c>
      <c r="G197" s="8">
        <v>295</v>
      </c>
      <c r="H197" s="8">
        <v>295</v>
      </c>
      <c r="I197" s="7">
        <v>1</v>
      </c>
      <c r="J197" s="7">
        <v>4</v>
      </c>
      <c r="K197" s="7"/>
      <c r="L197" s="7"/>
      <c r="M197" s="8"/>
      <c r="N197" s="10"/>
      <c r="O197" s="7"/>
      <c r="P197" s="7"/>
    </row>
    <row r="198" spans="1:16" ht="30.6" customHeight="1">
      <c r="A198" s="6" t="s">
        <v>271</v>
      </c>
      <c r="B198" s="7" t="s">
        <v>33</v>
      </c>
      <c r="C198" s="7">
        <v>2</v>
      </c>
      <c r="D198" s="7">
        <v>246</v>
      </c>
      <c r="E198" s="7">
        <v>620.9</v>
      </c>
      <c r="F198" s="7" t="s">
        <v>28</v>
      </c>
      <c r="G198" s="8">
        <v>616</v>
      </c>
      <c r="H198" s="8">
        <v>1004</v>
      </c>
      <c r="I198" s="7">
        <v>3.4</v>
      </c>
      <c r="J198" s="7">
        <v>15</v>
      </c>
      <c r="K198" s="7"/>
      <c r="L198" s="7"/>
      <c r="M198" s="8"/>
      <c r="N198" s="10"/>
      <c r="O198" s="7"/>
      <c r="P198" s="7"/>
    </row>
    <row r="199" spans="1:16" ht="30.6" customHeight="1">
      <c r="A199" s="6" t="s">
        <v>272</v>
      </c>
      <c r="B199" s="7" t="s">
        <v>273</v>
      </c>
      <c r="C199" s="7">
        <v>2</v>
      </c>
      <c r="D199" s="7">
        <v>15</v>
      </c>
      <c r="E199" s="7">
        <v>438</v>
      </c>
      <c r="F199" s="7" t="s">
        <v>28</v>
      </c>
      <c r="G199" s="8">
        <v>443</v>
      </c>
      <c r="H199" s="8">
        <v>1180</v>
      </c>
      <c r="I199" s="7">
        <v>4</v>
      </c>
      <c r="J199" s="7">
        <v>11</v>
      </c>
      <c r="K199" s="7"/>
      <c r="L199" s="7"/>
      <c r="M199" s="8"/>
      <c r="N199" s="10"/>
      <c r="O199" s="7"/>
      <c r="P199" s="7"/>
    </row>
    <row r="200" spans="1:16" ht="30.6" customHeight="1">
      <c r="A200" s="6" t="s">
        <v>272</v>
      </c>
      <c r="B200" s="7"/>
      <c r="C200" s="7">
        <v>2</v>
      </c>
      <c r="D200" s="7">
        <v>59</v>
      </c>
      <c r="E200" s="7">
        <v>737.8</v>
      </c>
      <c r="F200" s="7" t="s">
        <v>28</v>
      </c>
      <c r="G200" s="8">
        <v>737</v>
      </c>
      <c r="H200" s="8"/>
      <c r="I200" s="7"/>
      <c r="J200" s="7"/>
      <c r="K200" s="7"/>
      <c r="L200" s="7"/>
      <c r="M200" s="8"/>
      <c r="N200" s="10"/>
      <c r="O200" s="7"/>
      <c r="P200" s="7"/>
    </row>
    <row r="201" spans="1:16" ht="30.6" customHeight="1">
      <c r="A201" s="6" t="s">
        <v>274</v>
      </c>
      <c r="B201" s="7" t="s">
        <v>275</v>
      </c>
      <c r="C201" s="7">
        <v>2</v>
      </c>
      <c r="D201" s="7">
        <v>74</v>
      </c>
      <c r="E201" s="7">
        <v>606.6</v>
      </c>
      <c r="F201" s="7" t="s">
        <v>28</v>
      </c>
      <c r="G201" s="8">
        <v>611</v>
      </c>
      <c r="H201" s="8">
        <v>1579</v>
      </c>
      <c r="I201" s="7">
        <v>5</v>
      </c>
      <c r="J201" s="7">
        <v>17</v>
      </c>
      <c r="K201" s="7"/>
      <c r="L201" s="7"/>
      <c r="M201" s="8"/>
      <c r="N201" s="10"/>
      <c r="O201" s="7"/>
      <c r="P201" s="7"/>
    </row>
    <row r="202" spans="1:16" ht="30.6" customHeight="1">
      <c r="A202" s="6" t="s">
        <v>274</v>
      </c>
      <c r="B202" s="7"/>
      <c r="C202" s="7">
        <v>2</v>
      </c>
      <c r="D202" s="7">
        <v>160</v>
      </c>
      <c r="E202" s="7">
        <v>403.2</v>
      </c>
      <c r="F202" s="7" t="s">
        <v>28</v>
      </c>
      <c r="G202" s="8">
        <v>388</v>
      </c>
      <c r="H202" s="8"/>
      <c r="I202" s="7"/>
      <c r="J202" s="7"/>
      <c r="K202" s="7"/>
      <c r="L202" s="7"/>
      <c r="M202" s="8"/>
      <c r="N202" s="10"/>
      <c r="O202" s="7"/>
      <c r="P202" s="7"/>
    </row>
    <row r="203" spans="1:16" ht="30.6" customHeight="1">
      <c r="A203" s="6" t="s">
        <v>276</v>
      </c>
      <c r="B203" s="7" t="s">
        <v>277</v>
      </c>
      <c r="C203" s="7">
        <v>2</v>
      </c>
      <c r="D203" s="7">
        <v>103</v>
      </c>
      <c r="E203" s="7">
        <v>624.5</v>
      </c>
      <c r="F203" s="7" t="s">
        <v>28</v>
      </c>
      <c r="G203" s="8">
        <v>616</v>
      </c>
      <c r="H203" s="8">
        <v>1710</v>
      </c>
      <c r="I203" s="7">
        <v>5</v>
      </c>
      <c r="J203" s="7">
        <v>16</v>
      </c>
      <c r="K203" s="7"/>
      <c r="L203" s="7"/>
      <c r="M203" s="8"/>
      <c r="N203" s="10"/>
      <c r="O203" s="7"/>
      <c r="P203" s="7"/>
    </row>
    <row r="204" spans="1:16" ht="30.6" customHeight="1">
      <c r="A204" s="6" t="s">
        <v>278</v>
      </c>
      <c r="B204" s="7" t="s">
        <v>33</v>
      </c>
      <c r="C204" s="7">
        <v>2</v>
      </c>
      <c r="D204" s="7">
        <v>247</v>
      </c>
      <c r="E204" s="7">
        <v>493.3</v>
      </c>
      <c r="F204" s="7" t="s">
        <v>28</v>
      </c>
      <c r="G204" s="8">
        <v>489</v>
      </c>
      <c r="H204" s="8">
        <v>800</v>
      </c>
      <c r="I204" s="7">
        <v>2.7</v>
      </c>
      <c r="J204" s="7">
        <v>4</v>
      </c>
      <c r="K204" s="7"/>
      <c r="L204" s="7"/>
      <c r="M204" s="8"/>
      <c r="N204" s="10"/>
      <c r="O204" s="7"/>
      <c r="P204" s="7"/>
    </row>
    <row r="205" spans="1:16" ht="30.6" customHeight="1">
      <c r="A205" s="6" t="s">
        <v>279</v>
      </c>
      <c r="B205" s="7" t="s">
        <v>280</v>
      </c>
      <c r="C205" s="7">
        <v>2</v>
      </c>
      <c r="D205" s="7">
        <v>80</v>
      </c>
      <c r="E205" s="7">
        <v>744.9</v>
      </c>
      <c r="F205" s="7" t="s">
        <v>28</v>
      </c>
      <c r="G205" s="8">
        <v>733</v>
      </c>
      <c r="H205" s="8">
        <v>1199</v>
      </c>
      <c r="I205" s="7">
        <v>4</v>
      </c>
      <c r="J205" s="7">
        <v>21</v>
      </c>
      <c r="K205" s="7"/>
      <c r="L205" s="7"/>
      <c r="M205" s="8"/>
      <c r="N205" s="10"/>
      <c r="O205" s="7"/>
      <c r="P205" s="7"/>
    </row>
    <row r="206" spans="1:16" ht="30.6" customHeight="1">
      <c r="A206" s="6" t="s">
        <v>281</v>
      </c>
      <c r="B206" s="7" t="s">
        <v>42</v>
      </c>
      <c r="C206" s="7">
        <v>2</v>
      </c>
      <c r="D206" s="7">
        <v>297</v>
      </c>
      <c r="E206" s="7">
        <v>605</v>
      </c>
      <c r="F206" s="7" t="s">
        <v>28</v>
      </c>
      <c r="G206" s="8">
        <v>589</v>
      </c>
      <c r="H206" s="8">
        <v>1710</v>
      </c>
      <c r="I206" s="7">
        <v>5</v>
      </c>
      <c r="J206" s="7">
        <v>22</v>
      </c>
      <c r="K206" s="7"/>
      <c r="L206" s="7"/>
      <c r="M206" s="8"/>
      <c r="N206" s="10"/>
      <c r="O206" s="7"/>
      <c r="P206" s="7"/>
    </row>
    <row r="207" spans="1:16" ht="30.6" customHeight="1">
      <c r="A207" s="6" t="s">
        <v>282</v>
      </c>
      <c r="B207" s="7"/>
      <c r="C207" s="7">
        <v>2</v>
      </c>
      <c r="D207" s="7">
        <v>122</v>
      </c>
      <c r="E207" s="7">
        <v>394.3</v>
      </c>
      <c r="F207" s="7" t="s">
        <v>28</v>
      </c>
      <c r="G207" s="8">
        <v>442</v>
      </c>
      <c r="H207" s="8">
        <v>442</v>
      </c>
      <c r="I207" s="7">
        <v>1.4</v>
      </c>
      <c r="J207" s="7"/>
      <c r="K207" s="7"/>
      <c r="L207" s="7"/>
      <c r="M207" s="8"/>
      <c r="N207" s="10"/>
      <c r="O207" s="7"/>
      <c r="P207" s="7"/>
    </row>
    <row r="208" spans="1:16" ht="30.6" customHeight="1">
      <c r="A208" s="6" t="s">
        <v>283</v>
      </c>
      <c r="B208" s="7" t="s">
        <v>42</v>
      </c>
      <c r="C208" s="7">
        <v>2</v>
      </c>
      <c r="D208" s="7">
        <v>115</v>
      </c>
      <c r="E208" s="7">
        <v>370.9</v>
      </c>
      <c r="F208" s="7" t="s">
        <v>28</v>
      </c>
      <c r="G208" s="8">
        <v>367</v>
      </c>
      <c r="H208" s="8">
        <v>1445</v>
      </c>
      <c r="I208" s="7">
        <v>4</v>
      </c>
      <c r="J208" s="7">
        <v>10</v>
      </c>
      <c r="K208" s="7"/>
      <c r="L208" s="7"/>
      <c r="M208" s="8"/>
      <c r="N208" s="10"/>
      <c r="O208" s="7"/>
      <c r="P208" s="7"/>
    </row>
    <row r="209" spans="1:16" ht="30.6" customHeight="1">
      <c r="A209" s="6" t="s">
        <v>283</v>
      </c>
      <c r="B209" s="7"/>
      <c r="C209" s="7">
        <v>2</v>
      </c>
      <c r="D209" s="7">
        <v>140</v>
      </c>
      <c r="E209" s="7">
        <v>623.5</v>
      </c>
      <c r="F209" s="7" t="s">
        <v>28</v>
      </c>
      <c r="G209" s="8">
        <v>619</v>
      </c>
      <c r="H209" s="8"/>
      <c r="I209" s="7"/>
      <c r="J209" s="7"/>
      <c r="K209" s="7"/>
      <c r="L209" s="7"/>
      <c r="M209" s="8"/>
      <c r="N209" s="10"/>
      <c r="O209" s="7"/>
      <c r="P209" s="7"/>
    </row>
    <row r="210" spans="1:16" ht="30.6" customHeight="1">
      <c r="A210" s="6" t="s">
        <v>284</v>
      </c>
      <c r="B210" s="7" t="s">
        <v>285</v>
      </c>
      <c r="C210" s="7">
        <v>2</v>
      </c>
      <c r="D210" s="7">
        <v>51</v>
      </c>
      <c r="E210" s="7">
        <v>622.1</v>
      </c>
      <c r="F210" s="7" t="s">
        <v>28</v>
      </c>
      <c r="G210" s="8">
        <v>616</v>
      </c>
      <c r="H210" s="8">
        <v>1492</v>
      </c>
      <c r="I210" s="7">
        <v>5</v>
      </c>
      <c r="J210" s="7">
        <v>5</v>
      </c>
      <c r="K210" s="7"/>
      <c r="L210" s="7"/>
      <c r="M210" s="8"/>
      <c r="N210" s="10"/>
      <c r="O210" s="7"/>
      <c r="P210" s="7"/>
    </row>
    <row r="211" spans="1:16" ht="30.6" customHeight="1">
      <c r="A211" s="6" t="s">
        <v>286</v>
      </c>
      <c r="B211" s="7" t="s">
        <v>33</v>
      </c>
      <c r="C211" s="7">
        <v>2</v>
      </c>
      <c r="D211" s="7">
        <v>250</v>
      </c>
      <c r="E211" s="7">
        <v>344.6</v>
      </c>
      <c r="F211" s="7" t="s">
        <v>28</v>
      </c>
      <c r="G211" s="8">
        <v>342</v>
      </c>
      <c r="H211" s="8">
        <v>684</v>
      </c>
      <c r="I211" s="7">
        <v>2.2999999999999998</v>
      </c>
      <c r="J211" s="7">
        <v>5</v>
      </c>
      <c r="K211" s="7"/>
      <c r="L211" s="7"/>
      <c r="M211" s="8"/>
      <c r="N211" s="10"/>
      <c r="O211" s="7"/>
      <c r="P211" s="7"/>
    </row>
    <row r="212" spans="1:16" ht="30.6" customHeight="1">
      <c r="A212" s="6" t="s">
        <v>287</v>
      </c>
      <c r="B212" s="7" t="s">
        <v>33</v>
      </c>
      <c r="C212" s="7">
        <v>2</v>
      </c>
      <c r="D212" s="7">
        <v>265</v>
      </c>
      <c r="E212" s="7">
        <v>298.2</v>
      </c>
      <c r="F212" s="7" t="s">
        <v>28</v>
      </c>
      <c r="G212" s="8">
        <v>295</v>
      </c>
      <c r="H212" s="8">
        <v>590</v>
      </c>
      <c r="I212" s="7">
        <v>2</v>
      </c>
      <c r="J212" s="7">
        <v>3</v>
      </c>
      <c r="K212" s="7"/>
      <c r="L212" s="7"/>
      <c r="M212" s="8"/>
      <c r="N212" s="10"/>
      <c r="O212" s="7"/>
      <c r="P212" s="7"/>
    </row>
    <row r="213" spans="1:16" ht="30.6" customHeight="1">
      <c r="A213" s="6" t="s">
        <v>288</v>
      </c>
      <c r="B213" s="7" t="s">
        <v>289</v>
      </c>
      <c r="C213" s="7">
        <v>2</v>
      </c>
      <c r="D213" s="7">
        <v>88</v>
      </c>
      <c r="E213" s="7">
        <v>296</v>
      </c>
      <c r="F213" s="7" t="s">
        <v>28</v>
      </c>
      <c r="G213" s="8">
        <v>489</v>
      </c>
      <c r="H213" s="8">
        <v>1368</v>
      </c>
      <c r="I213" s="7">
        <v>4</v>
      </c>
      <c r="J213" s="7">
        <v>4</v>
      </c>
      <c r="K213" s="7"/>
      <c r="L213" s="7"/>
      <c r="M213" s="8"/>
      <c r="N213" s="10"/>
      <c r="O213" s="7"/>
      <c r="P213" s="7"/>
    </row>
    <row r="214" spans="1:16" ht="30.6" customHeight="1">
      <c r="A214" s="6" t="s">
        <v>290</v>
      </c>
      <c r="B214" s="7" t="s">
        <v>291</v>
      </c>
      <c r="C214" s="7">
        <v>2</v>
      </c>
      <c r="D214" s="7">
        <v>75</v>
      </c>
      <c r="E214" s="7">
        <v>486.7</v>
      </c>
      <c r="F214" s="7" t="s">
        <v>28</v>
      </c>
      <c r="G214" s="8">
        <v>489</v>
      </c>
      <c r="H214" s="8">
        <v>1368</v>
      </c>
      <c r="I214" s="7">
        <v>4</v>
      </c>
      <c r="J214" s="7">
        <v>3</v>
      </c>
      <c r="K214" s="7"/>
      <c r="L214" s="7"/>
      <c r="M214" s="8"/>
      <c r="N214" s="10"/>
      <c r="O214" s="7"/>
      <c r="P214" s="7"/>
    </row>
    <row r="215" spans="1:16" ht="30.6" customHeight="1">
      <c r="A215" s="6" t="s">
        <v>292</v>
      </c>
      <c r="B215" s="7" t="s">
        <v>293</v>
      </c>
      <c r="C215" s="7">
        <v>2</v>
      </c>
      <c r="D215" s="7">
        <v>109</v>
      </c>
      <c r="E215" s="7">
        <v>862.8</v>
      </c>
      <c r="F215" s="7" t="s">
        <v>28</v>
      </c>
      <c r="G215" s="8">
        <v>856</v>
      </c>
      <c r="H215" s="8">
        <v>2129</v>
      </c>
      <c r="I215" s="7">
        <v>7.2</v>
      </c>
      <c r="J215" s="7">
        <v>11</v>
      </c>
      <c r="K215" s="7"/>
      <c r="L215" s="7"/>
      <c r="M215" s="8"/>
      <c r="N215" s="10"/>
      <c r="O215" s="7"/>
      <c r="P215" s="7"/>
    </row>
    <row r="216" spans="1:16" ht="30.6" customHeight="1">
      <c r="A216" s="6" t="s">
        <v>294</v>
      </c>
      <c r="B216" s="7" t="s">
        <v>295</v>
      </c>
      <c r="C216" s="7">
        <v>2</v>
      </c>
      <c r="D216" s="7">
        <v>86</v>
      </c>
      <c r="E216" s="7">
        <v>490.4</v>
      </c>
      <c r="F216" s="7" t="s">
        <v>28</v>
      </c>
      <c r="G216" s="8">
        <v>489</v>
      </c>
      <c r="H216" s="8">
        <v>1118</v>
      </c>
      <c r="I216" s="7">
        <v>3</v>
      </c>
      <c r="J216" s="7">
        <v>13</v>
      </c>
      <c r="K216" s="7"/>
      <c r="L216" s="7"/>
      <c r="M216" s="8"/>
      <c r="N216" s="10"/>
      <c r="O216" s="7"/>
      <c r="P216" s="7"/>
    </row>
    <row r="217" spans="1:16" ht="30.6" customHeight="1">
      <c r="A217" s="6" t="s">
        <v>294</v>
      </c>
      <c r="B217" s="7"/>
      <c r="C217" s="7">
        <v>2</v>
      </c>
      <c r="D217" s="7">
        <v>148</v>
      </c>
      <c r="E217" s="7">
        <v>631.1</v>
      </c>
      <c r="F217" s="7" t="s">
        <v>28</v>
      </c>
      <c r="G217" s="8">
        <v>629</v>
      </c>
      <c r="H217" s="8"/>
      <c r="I217" s="7"/>
      <c r="J217" s="7"/>
      <c r="K217" s="7"/>
      <c r="L217" s="7"/>
      <c r="M217" s="8"/>
      <c r="N217" s="10"/>
      <c r="O217" s="7"/>
      <c r="P217" s="7"/>
    </row>
    <row r="218" spans="1:16" ht="30.6" customHeight="1">
      <c r="A218" s="6" t="s">
        <v>296</v>
      </c>
      <c r="B218" s="7" t="s">
        <v>297</v>
      </c>
      <c r="C218" s="7">
        <v>2</v>
      </c>
      <c r="D218" s="7">
        <v>6</v>
      </c>
      <c r="E218" s="7">
        <v>616.9</v>
      </c>
      <c r="F218" s="7" t="s">
        <v>28</v>
      </c>
      <c r="G218" s="8">
        <v>616</v>
      </c>
      <c r="H218" s="8">
        <v>1548</v>
      </c>
      <c r="I218" s="7">
        <v>5.25</v>
      </c>
      <c r="J218" s="7"/>
      <c r="K218" s="7"/>
      <c r="L218" s="7"/>
      <c r="M218" s="8"/>
      <c r="N218" s="10"/>
      <c r="O218" s="7"/>
      <c r="P218" s="7"/>
    </row>
    <row r="219" spans="1:16" ht="30.6" customHeight="1">
      <c r="A219" s="6" t="s">
        <v>296</v>
      </c>
      <c r="B219" s="7"/>
      <c r="C219" s="7">
        <v>2</v>
      </c>
      <c r="D219" s="7">
        <v>62</v>
      </c>
      <c r="E219" s="7">
        <v>388.7</v>
      </c>
      <c r="F219" s="7" t="s">
        <v>28</v>
      </c>
      <c r="G219" s="8">
        <v>388</v>
      </c>
      <c r="H219" s="8"/>
      <c r="I219" s="7"/>
      <c r="J219" s="7"/>
      <c r="K219" s="7"/>
      <c r="L219" s="7"/>
      <c r="M219" s="8"/>
      <c r="N219" s="10"/>
      <c r="O219" s="7"/>
      <c r="P219" s="7"/>
    </row>
    <row r="220" spans="1:16" ht="30.6" customHeight="1">
      <c r="A220" s="6" t="s">
        <v>298</v>
      </c>
      <c r="B220" s="7" t="s">
        <v>33</v>
      </c>
      <c r="C220" s="7">
        <v>2</v>
      </c>
      <c r="D220" s="7">
        <v>237</v>
      </c>
      <c r="E220" s="7">
        <v>297.89999999999998</v>
      </c>
      <c r="F220" s="7" t="s">
        <v>28</v>
      </c>
      <c r="G220" s="8">
        <v>295</v>
      </c>
      <c r="H220" s="8">
        <v>590</v>
      </c>
      <c r="I220" s="7">
        <v>2</v>
      </c>
      <c r="J220" s="7">
        <v>9</v>
      </c>
      <c r="K220" s="7"/>
      <c r="L220" s="7"/>
      <c r="M220" s="8"/>
      <c r="N220" s="10"/>
      <c r="O220" s="7"/>
      <c r="P220" s="7"/>
    </row>
    <row r="221" spans="1:16" ht="30.6" customHeight="1">
      <c r="A221" s="6" t="s">
        <v>299</v>
      </c>
      <c r="B221" s="7" t="s">
        <v>42</v>
      </c>
      <c r="C221" s="7">
        <v>2</v>
      </c>
      <c r="D221" s="7">
        <v>289</v>
      </c>
      <c r="E221" s="7">
        <v>599.9</v>
      </c>
      <c r="F221" s="7" t="s">
        <v>28</v>
      </c>
      <c r="G221" s="8">
        <v>589</v>
      </c>
      <c r="H221" s="8">
        <v>1475</v>
      </c>
      <c r="I221" s="7">
        <v>5</v>
      </c>
      <c r="J221" s="7">
        <v>11</v>
      </c>
      <c r="K221" s="7"/>
      <c r="L221" s="7"/>
      <c r="M221" s="8"/>
      <c r="N221" s="10"/>
      <c r="O221" s="7"/>
      <c r="P221" s="7"/>
    </row>
    <row r="222" spans="1:16" ht="30.6" customHeight="1">
      <c r="A222" s="6" t="s">
        <v>300</v>
      </c>
      <c r="B222" s="7" t="s">
        <v>42</v>
      </c>
      <c r="C222" s="7">
        <v>2</v>
      </c>
      <c r="D222" s="7">
        <v>105</v>
      </c>
      <c r="E222" s="7">
        <v>327.10000000000002</v>
      </c>
      <c r="F222" s="7" t="s">
        <v>28</v>
      </c>
      <c r="G222" s="8">
        <v>321</v>
      </c>
      <c r="H222" s="8">
        <v>964</v>
      </c>
      <c r="I222" s="7">
        <v>3.2</v>
      </c>
      <c r="J222" s="7">
        <v>18</v>
      </c>
      <c r="K222" s="7"/>
      <c r="L222" s="7"/>
      <c r="M222" s="8"/>
      <c r="N222" s="10"/>
      <c r="O222" s="7"/>
      <c r="P222" s="7"/>
    </row>
    <row r="223" spans="1:16" ht="30.6" customHeight="1">
      <c r="A223" s="6" t="s">
        <v>301</v>
      </c>
      <c r="B223" s="7" t="s">
        <v>33</v>
      </c>
      <c r="C223" s="7">
        <v>2</v>
      </c>
      <c r="D223" s="7">
        <v>94</v>
      </c>
      <c r="E223" s="7">
        <v>493.5</v>
      </c>
      <c r="F223" s="7" t="s">
        <v>28</v>
      </c>
      <c r="G223" s="8">
        <v>489</v>
      </c>
      <c r="H223" s="8">
        <v>800</v>
      </c>
      <c r="I223" s="7">
        <v>2.7</v>
      </c>
      <c r="J223" s="7"/>
      <c r="K223" s="7"/>
      <c r="L223" s="7"/>
      <c r="M223" s="8"/>
      <c r="N223" s="10"/>
      <c r="O223" s="7"/>
      <c r="P223" s="7"/>
    </row>
    <row r="224" spans="1:16" ht="30.6" customHeight="1">
      <c r="A224" s="6" t="s">
        <v>302</v>
      </c>
      <c r="B224" s="7" t="s">
        <v>42</v>
      </c>
      <c r="C224" s="7">
        <v>2</v>
      </c>
      <c r="D224" s="7">
        <v>120</v>
      </c>
      <c r="E224" s="7">
        <v>1358.1</v>
      </c>
      <c r="F224" s="7" t="s">
        <v>28</v>
      </c>
      <c r="G224" s="8">
        <v>1345</v>
      </c>
      <c r="H224" s="8">
        <v>3421</v>
      </c>
      <c r="I224" s="7">
        <v>11.5</v>
      </c>
      <c r="J224" s="7">
        <v>28</v>
      </c>
      <c r="K224" s="7"/>
      <c r="L224" s="7"/>
      <c r="M224" s="8"/>
      <c r="N224" s="10"/>
      <c r="O224" s="7"/>
      <c r="P224" s="7"/>
    </row>
    <row r="225" spans="1:16" ht="30.6" customHeight="1">
      <c r="A225" s="6" t="s">
        <v>303</v>
      </c>
      <c r="B225" s="7" t="s">
        <v>42</v>
      </c>
      <c r="C225" s="7">
        <v>2</v>
      </c>
      <c r="D225" s="7">
        <v>106</v>
      </c>
      <c r="E225" s="7">
        <v>297.3</v>
      </c>
      <c r="F225" s="7" t="s">
        <v>28</v>
      </c>
      <c r="G225" s="8">
        <v>295</v>
      </c>
      <c r="H225" s="8">
        <v>885</v>
      </c>
      <c r="I225" s="7">
        <v>3</v>
      </c>
      <c r="J225" s="7"/>
      <c r="K225" s="7"/>
      <c r="L225" s="7"/>
      <c r="M225" s="8"/>
      <c r="N225" s="10"/>
      <c r="O225" s="7"/>
      <c r="P225" s="7"/>
    </row>
    <row r="226" spans="1:16" ht="30.6" customHeight="1">
      <c r="A226" s="6" t="s">
        <v>304</v>
      </c>
      <c r="B226" s="7" t="s">
        <v>305</v>
      </c>
      <c r="C226" s="7">
        <v>2</v>
      </c>
      <c r="D226" s="7">
        <v>82</v>
      </c>
      <c r="E226" s="7">
        <v>634.9</v>
      </c>
      <c r="F226" s="7" t="s">
        <v>28</v>
      </c>
      <c r="G226" s="8">
        <v>611</v>
      </c>
      <c r="H226" s="8">
        <v>999</v>
      </c>
      <c r="I226" s="7">
        <v>3</v>
      </c>
      <c r="J226" s="7">
        <v>13</v>
      </c>
      <c r="K226" s="7"/>
      <c r="L226" s="7"/>
      <c r="M226" s="8"/>
      <c r="N226" s="10"/>
      <c r="O226" s="7"/>
      <c r="P226" s="7"/>
    </row>
    <row r="227" spans="1:16" ht="30.6" customHeight="1">
      <c r="A227" s="6" t="s">
        <v>306</v>
      </c>
      <c r="B227" s="7" t="s">
        <v>33</v>
      </c>
      <c r="C227" s="7">
        <v>2</v>
      </c>
      <c r="D227" s="7">
        <v>233</v>
      </c>
      <c r="E227" s="7">
        <v>858.9</v>
      </c>
      <c r="F227" s="7" t="s">
        <v>28</v>
      </c>
      <c r="G227" s="8">
        <v>856</v>
      </c>
      <c r="H227" s="8">
        <v>1420</v>
      </c>
      <c r="I227" s="7">
        <v>4</v>
      </c>
      <c r="J227" s="7">
        <v>15</v>
      </c>
      <c r="K227" s="7"/>
      <c r="L227" s="7"/>
      <c r="M227" s="8"/>
      <c r="N227" s="10"/>
      <c r="O227" s="7"/>
      <c r="P227" s="7"/>
    </row>
    <row r="228" spans="1:16" ht="30.6" customHeight="1">
      <c r="A228" s="6" t="s">
        <v>307</v>
      </c>
      <c r="B228" s="7" t="s">
        <v>308</v>
      </c>
      <c r="C228" s="7">
        <v>2</v>
      </c>
      <c r="D228" s="7">
        <v>18</v>
      </c>
      <c r="E228" s="7">
        <v>480.3</v>
      </c>
      <c r="F228" s="7" t="s">
        <v>28</v>
      </c>
      <c r="G228" s="8">
        <v>489</v>
      </c>
      <c r="H228" s="8">
        <v>1368</v>
      </c>
      <c r="I228" s="7">
        <v>4.63</v>
      </c>
      <c r="J228" s="7">
        <v>7</v>
      </c>
      <c r="K228" s="7"/>
      <c r="L228" s="7"/>
      <c r="M228" s="8"/>
      <c r="N228" s="10"/>
      <c r="O228" s="7"/>
      <c r="P228" s="7"/>
    </row>
    <row r="229" spans="1:16" ht="30.6" customHeight="1">
      <c r="A229" s="6" t="s">
        <v>309</v>
      </c>
      <c r="B229" s="7" t="s">
        <v>310</v>
      </c>
      <c r="C229" s="7">
        <v>2</v>
      </c>
      <c r="D229" s="7">
        <v>81</v>
      </c>
      <c r="E229" s="7">
        <v>629.29999999999995</v>
      </c>
      <c r="F229" s="7" t="s">
        <v>28</v>
      </c>
      <c r="G229" s="8">
        <v>611</v>
      </c>
      <c r="H229" s="8">
        <v>1520</v>
      </c>
      <c r="I229" s="7">
        <v>5</v>
      </c>
      <c r="J229" s="7">
        <v>8</v>
      </c>
      <c r="K229" s="7"/>
      <c r="L229" s="7"/>
      <c r="M229" s="8"/>
      <c r="N229" s="10"/>
      <c r="O229" s="7"/>
      <c r="P229" s="7"/>
    </row>
    <row r="230" spans="1:16" ht="30.6" customHeight="1">
      <c r="A230" s="6" t="s">
        <v>311</v>
      </c>
      <c r="B230" s="7" t="s">
        <v>312</v>
      </c>
      <c r="C230" s="7">
        <v>2</v>
      </c>
      <c r="D230" s="7">
        <v>307</v>
      </c>
      <c r="E230" s="7">
        <v>474.5</v>
      </c>
      <c r="F230" s="7" t="s">
        <v>28</v>
      </c>
      <c r="G230" s="8">
        <v>471</v>
      </c>
      <c r="H230" s="8">
        <v>1180</v>
      </c>
      <c r="I230" s="7">
        <v>4</v>
      </c>
      <c r="J230" s="7">
        <v>10</v>
      </c>
      <c r="K230" s="7"/>
      <c r="L230" s="7"/>
      <c r="M230" s="8"/>
      <c r="N230" s="10"/>
      <c r="O230" s="7"/>
      <c r="P230" s="7"/>
    </row>
    <row r="231" spans="1:16" ht="30.6" customHeight="1">
      <c r="A231" s="6" t="s">
        <v>313</v>
      </c>
      <c r="B231" s="7" t="s">
        <v>213</v>
      </c>
      <c r="C231" s="7">
        <v>2</v>
      </c>
      <c r="D231" s="7">
        <v>210</v>
      </c>
      <c r="E231" s="7">
        <v>342.2</v>
      </c>
      <c r="F231" s="7" t="s">
        <v>28</v>
      </c>
      <c r="G231" s="8">
        <v>342</v>
      </c>
      <c r="H231" s="8">
        <v>342</v>
      </c>
      <c r="I231" s="7">
        <v>1.1000000000000001</v>
      </c>
      <c r="J231" s="7">
        <v>5</v>
      </c>
      <c r="K231" s="7"/>
      <c r="L231" s="7"/>
      <c r="M231" s="8"/>
      <c r="N231" s="10"/>
      <c r="O231" s="7"/>
      <c r="P231" s="7"/>
    </row>
    <row r="232" spans="1:16" ht="30.6" customHeight="1">
      <c r="A232" s="6" t="s">
        <v>314</v>
      </c>
      <c r="B232" s="7" t="s">
        <v>315</v>
      </c>
      <c r="C232" s="7">
        <v>2</v>
      </c>
      <c r="D232" s="7">
        <v>17</v>
      </c>
      <c r="E232" s="7">
        <v>713.2</v>
      </c>
      <c r="F232" s="7" t="s">
        <v>28</v>
      </c>
      <c r="G232" s="8">
        <v>733</v>
      </c>
      <c r="H232" s="8">
        <v>1970</v>
      </c>
      <c r="I232" s="7">
        <v>6</v>
      </c>
      <c r="J232" s="7">
        <v>7</v>
      </c>
      <c r="K232" s="7"/>
      <c r="L232" s="7"/>
      <c r="M232" s="8"/>
      <c r="N232" s="10"/>
      <c r="O232" s="7"/>
      <c r="P232" s="7"/>
    </row>
    <row r="233" spans="1:16" ht="30.6" customHeight="1">
      <c r="A233" s="6" t="s">
        <v>316</v>
      </c>
      <c r="B233" s="7" t="s">
        <v>42</v>
      </c>
      <c r="C233" s="7">
        <v>2</v>
      </c>
      <c r="D233" s="7">
        <v>308</v>
      </c>
      <c r="E233" s="7">
        <v>747.6</v>
      </c>
      <c r="F233" s="7" t="s">
        <v>28</v>
      </c>
      <c r="G233" s="8">
        <v>295</v>
      </c>
      <c r="H233" s="8">
        <v>1265</v>
      </c>
      <c r="I233" s="7">
        <v>3.7</v>
      </c>
      <c r="J233" s="7">
        <v>15</v>
      </c>
      <c r="K233" s="7"/>
      <c r="L233" s="7"/>
      <c r="M233" s="8"/>
      <c r="N233" s="10"/>
      <c r="O233" s="7"/>
      <c r="P233" s="7"/>
    </row>
    <row r="234" spans="1:16" ht="30.6" customHeight="1">
      <c r="A234" s="6" t="s">
        <v>317</v>
      </c>
      <c r="B234" s="7" t="s">
        <v>318</v>
      </c>
      <c r="C234" s="7">
        <v>2</v>
      </c>
      <c r="D234" s="7">
        <v>79</v>
      </c>
      <c r="E234" s="7">
        <v>494.1</v>
      </c>
      <c r="F234" s="7" t="s">
        <v>28</v>
      </c>
      <c r="G234" s="8">
        <v>489</v>
      </c>
      <c r="H234" s="8">
        <v>1368</v>
      </c>
      <c r="I234" s="7">
        <v>4</v>
      </c>
      <c r="J234" s="7">
        <v>10</v>
      </c>
      <c r="K234" s="7"/>
      <c r="L234" s="7"/>
      <c r="M234" s="8"/>
      <c r="N234" s="10"/>
      <c r="O234" s="7"/>
      <c r="P234" s="7"/>
    </row>
    <row r="235" spans="1:16" ht="30.6" customHeight="1">
      <c r="A235" s="6" t="s">
        <v>319</v>
      </c>
      <c r="B235" s="7" t="s">
        <v>320</v>
      </c>
      <c r="C235" s="7">
        <v>2</v>
      </c>
      <c r="D235" s="7">
        <v>99</v>
      </c>
      <c r="E235" s="7">
        <v>626.6</v>
      </c>
      <c r="F235" s="7" t="s">
        <v>28</v>
      </c>
      <c r="G235" s="8">
        <v>616</v>
      </c>
      <c r="H235" s="8">
        <v>1770</v>
      </c>
      <c r="I235" s="7">
        <v>6</v>
      </c>
      <c r="J235" s="7">
        <v>15</v>
      </c>
      <c r="K235" s="7"/>
      <c r="L235" s="7"/>
      <c r="M235" s="8"/>
      <c r="N235" s="10"/>
      <c r="O235" s="7"/>
      <c r="P235" s="7"/>
    </row>
    <row r="236" spans="1:16" ht="30.6" customHeight="1">
      <c r="A236" s="6" t="s">
        <v>319</v>
      </c>
      <c r="B236" s="7"/>
      <c r="C236" s="7">
        <v>2</v>
      </c>
      <c r="D236" s="7">
        <v>145</v>
      </c>
      <c r="E236" s="7">
        <v>683.4</v>
      </c>
      <c r="F236" s="7" t="s">
        <v>28</v>
      </c>
      <c r="G236" s="8">
        <v>682</v>
      </c>
      <c r="H236" s="8"/>
      <c r="I236" s="7"/>
      <c r="J236" s="7"/>
      <c r="K236" s="7"/>
      <c r="L236" s="7"/>
      <c r="M236" s="8"/>
      <c r="N236" s="10"/>
      <c r="O236" s="7"/>
      <c r="P236" s="7"/>
    </row>
    <row r="237" spans="1:16" ht="30.6" customHeight="1">
      <c r="A237" s="6" t="s">
        <v>321</v>
      </c>
      <c r="B237" s="7" t="s">
        <v>33</v>
      </c>
      <c r="C237" s="7">
        <v>2</v>
      </c>
      <c r="D237" s="7">
        <v>181</v>
      </c>
      <c r="E237" s="7">
        <v>867.2</v>
      </c>
      <c r="F237" s="7" t="s">
        <v>28</v>
      </c>
      <c r="G237" s="8">
        <v>856</v>
      </c>
      <c r="H237" s="8">
        <v>1420</v>
      </c>
      <c r="I237" s="7">
        <v>4</v>
      </c>
      <c r="J237" s="7">
        <v>15</v>
      </c>
      <c r="K237" s="7"/>
      <c r="L237" s="7"/>
      <c r="M237" s="8"/>
      <c r="N237" s="10"/>
      <c r="O237" s="7"/>
      <c r="P237" s="7"/>
    </row>
    <row r="238" spans="1:16" ht="30.6" customHeight="1">
      <c r="A238" s="6" t="s">
        <v>322</v>
      </c>
      <c r="B238" s="7" t="s">
        <v>323</v>
      </c>
      <c r="C238" s="7">
        <v>2</v>
      </c>
      <c r="D238" s="7">
        <v>85</v>
      </c>
      <c r="E238" s="7">
        <v>563.70000000000005</v>
      </c>
      <c r="F238" s="7" t="s">
        <v>28</v>
      </c>
      <c r="G238" s="8">
        <v>550</v>
      </c>
      <c r="H238" s="8">
        <v>900</v>
      </c>
      <c r="I238" s="7">
        <v>3</v>
      </c>
      <c r="J238" s="7">
        <v>1</v>
      </c>
      <c r="K238" s="7"/>
      <c r="L238" s="7"/>
      <c r="M238" s="8"/>
      <c r="N238" s="10"/>
      <c r="O238" s="7"/>
      <c r="P238" s="7"/>
    </row>
    <row r="239" spans="1:16" ht="30.6" customHeight="1">
      <c r="A239" s="6" t="s">
        <v>324</v>
      </c>
      <c r="B239" s="7" t="s">
        <v>33</v>
      </c>
      <c r="C239" s="7">
        <v>2</v>
      </c>
      <c r="D239" s="7">
        <v>229</v>
      </c>
      <c r="E239" s="7">
        <v>629.4</v>
      </c>
      <c r="F239" s="7" t="s">
        <v>28</v>
      </c>
      <c r="G239" s="8">
        <v>616</v>
      </c>
      <c r="H239" s="8">
        <v>1004</v>
      </c>
      <c r="I239" s="7">
        <v>3.4</v>
      </c>
      <c r="J239" s="7">
        <v>17</v>
      </c>
      <c r="K239" s="7"/>
      <c r="L239" s="7"/>
      <c r="M239" s="8"/>
      <c r="N239" s="10"/>
      <c r="O239" s="7"/>
      <c r="P239" s="7"/>
    </row>
    <row r="240" spans="1:16" ht="30.6" customHeight="1">
      <c r="A240" s="6" t="s">
        <v>325</v>
      </c>
      <c r="B240" s="7" t="s">
        <v>33</v>
      </c>
      <c r="C240" s="7">
        <v>2</v>
      </c>
      <c r="D240" s="7">
        <v>220</v>
      </c>
      <c r="E240" s="7">
        <v>496.5</v>
      </c>
      <c r="F240" s="7" t="s">
        <v>28</v>
      </c>
      <c r="G240" s="8">
        <v>489</v>
      </c>
      <c r="H240" s="8">
        <v>800</v>
      </c>
      <c r="I240" s="7">
        <v>2.7</v>
      </c>
      <c r="J240" s="7">
        <v>14</v>
      </c>
      <c r="K240" s="7"/>
      <c r="L240" s="7"/>
      <c r="M240" s="8"/>
      <c r="N240" s="10"/>
      <c r="O240" s="7"/>
      <c r="P240" s="7"/>
    </row>
    <row r="241" spans="1:16" ht="30.6" customHeight="1">
      <c r="A241" s="6" t="s">
        <v>326</v>
      </c>
      <c r="B241" s="7" t="s">
        <v>33</v>
      </c>
      <c r="C241" s="7">
        <v>2</v>
      </c>
      <c r="D241" s="7">
        <v>232</v>
      </c>
      <c r="E241" s="7">
        <v>618.1</v>
      </c>
      <c r="F241" s="7" t="s">
        <v>28</v>
      </c>
      <c r="G241" s="8">
        <v>616</v>
      </c>
      <c r="H241" s="8">
        <v>1004</v>
      </c>
      <c r="I241" s="7">
        <v>3.4</v>
      </c>
      <c r="J241" s="7">
        <v>12</v>
      </c>
      <c r="K241" s="7"/>
      <c r="L241" s="7"/>
      <c r="M241" s="8"/>
      <c r="N241" s="10"/>
      <c r="O241" s="7"/>
      <c r="P241" s="7"/>
    </row>
    <row r="242" spans="1:16" ht="30.6" customHeight="1">
      <c r="A242" s="6" t="s">
        <v>327</v>
      </c>
      <c r="B242" s="7" t="s">
        <v>33</v>
      </c>
      <c r="C242" s="7">
        <v>2</v>
      </c>
      <c r="D242" s="7">
        <v>185</v>
      </c>
      <c r="E242" s="7">
        <v>749.2</v>
      </c>
      <c r="F242" s="7" t="s">
        <v>28</v>
      </c>
      <c r="G242" s="8">
        <v>733</v>
      </c>
      <c r="H242" s="8">
        <v>1219</v>
      </c>
      <c r="I242" s="7">
        <v>4.0999999999999996</v>
      </c>
      <c r="J242" s="7">
        <v>22</v>
      </c>
      <c r="K242" s="7"/>
      <c r="L242" s="7"/>
      <c r="M242" s="8"/>
      <c r="N242" s="10"/>
      <c r="O242" s="7"/>
      <c r="P242" s="7"/>
    </row>
    <row r="243" spans="1:16" ht="30.6" customHeight="1">
      <c r="A243" s="6" t="s">
        <v>328</v>
      </c>
      <c r="B243" s="7"/>
      <c r="C243" s="7">
        <v>2</v>
      </c>
      <c r="D243" s="7">
        <v>268</v>
      </c>
      <c r="E243" s="7">
        <v>347.7</v>
      </c>
      <c r="F243" s="7" t="s">
        <v>28</v>
      </c>
      <c r="G243" s="8">
        <v>342</v>
      </c>
      <c r="H243" s="8">
        <v>342</v>
      </c>
      <c r="I243" s="7">
        <v>1.1000000000000001</v>
      </c>
      <c r="J243" s="7">
        <v>6</v>
      </c>
      <c r="K243" s="7"/>
      <c r="L243" s="7"/>
      <c r="M243" s="8"/>
      <c r="N243" s="10"/>
      <c r="O243" s="7"/>
      <c r="P243" s="7"/>
    </row>
    <row r="244" spans="1:16" ht="30.6" customHeight="1">
      <c r="A244" s="6" t="s">
        <v>329</v>
      </c>
      <c r="B244" s="7" t="s">
        <v>330</v>
      </c>
      <c r="C244" s="7">
        <v>2</v>
      </c>
      <c r="D244" s="7">
        <v>44</v>
      </c>
      <c r="E244" s="7">
        <v>976.4</v>
      </c>
      <c r="F244" s="7" t="s">
        <v>28</v>
      </c>
      <c r="G244" s="8">
        <v>978</v>
      </c>
      <c r="H244" s="8">
        <v>2524</v>
      </c>
      <c r="I244" s="7">
        <v>8</v>
      </c>
      <c r="J244" s="7">
        <v>20</v>
      </c>
      <c r="K244" s="7"/>
      <c r="L244" s="7"/>
      <c r="M244" s="8"/>
      <c r="N244" s="10"/>
      <c r="O244" s="7"/>
      <c r="P244" s="7"/>
    </row>
    <row r="245" spans="1:16" ht="30.6" customHeight="1">
      <c r="A245" s="6" t="s">
        <v>331</v>
      </c>
      <c r="B245" s="7" t="s">
        <v>42</v>
      </c>
      <c r="C245" s="7">
        <v>2</v>
      </c>
      <c r="D245" s="7">
        <v>296</v>
      </c>
      <c r="E245" s="7">
        <v>481.5</v>
      </c>
      <c r="F245" s="7" t="s">
        <v>28</v>
      </c>
      <c r="G245" s="8">
        <v>471</v>
      </c>
      <c r="H245" s="8">
        <v>1368</v>
      </c>
      <c r="I245" s="7">
        <v>4</v>
      </c>
      <c r="J245" s="7">
        <v>15</v>
      </c>
      <c r="K245" s="7"/>
      <c r="L245" s="7"/>
      <c r="M245" s="8"/>
      <c r="N245" s="10"/>
      <c r="O245" s="7"/>
      <c r="P245" s="7"/>
    </row>
    <row r="246" spans="1:16" ht="30.6" customHeight="1">
      <c r="A246" s="6" t="s">
        <v>332</v>
      </c>
      <c r="B246" s="7"/>
      <c r="C246" s="7">
        <v>2</v>
      </c>
      <c r="D246" s="7">
        <v>226</v>
      </c>
      <c r="E246" s="7">
        <v>319.5</v>
      </c>
      <c r="F246" s="7" t="s">
        <v>28</v>
      </c>
      <c r="G246" s="8">
        <v>316</v>
      </c>
      <c r="H246" s="8">
        <v>632</v>
      </c>
      <c r="I246" s="7">
        <v>2.1</v>
      </c>
      <c r="J246" s="7"/>
      <c r="K246" s="7"/>
      <c r="L246" s="7"/>
      <c r="M246" s="8"/>
      <c r="N246" s="10"/>
      <c r="O246" s="7"/>
      <c r="P246" s="7"/>
    </row>
    <row r="247" spans="1:16" ht="30.6" customHeight="1">
      <c r="A247" s="6" t="s">
        <v>333</v>
      </c>
      <c r="B247" s="7"/>
      <c r="C247" s="7">
        <v>2</v>
      </c>
      <c r="D247" s="7">
        <v>197</v>
      </c>
      <c r="E247" s="7">
        <v>1010.3</v>
      </c>
      <c r="F247" s="7" t="s">
        <v>28</v>
      </c>
      <c r="G247" s="8"/>
      <c r="H247" s="8"/>
      <c r="I247" s="7"/>
      <c r="J247" s="7"/>
      <c r="K247" s="7"/>
      <c r="L247" s="7"/>
      <c r="M247" s="8"/>
      <c r="N247" s="10"/>
      <c r="O247" s="7"/>
      <c r="P247" s="7"/>
    </row>
    <row r="248" spans="1:16" ht="30.6" customHeight="1">
      <c r="A248" s="6" t="s">
        <v>334</v>
      </c>
      <c r="B248" s="7" t="s">
        <v>42</v>
      </c>
      <c r="C248" s="7">
        <v>2</v>
      </c>
      <c r="D248" s="7">
        <v>313</v>
      </c>
      <c r="E248" s="7">
        <v>731.8</v>
      </c>
      <c r="F248" s="7" t="s">
        <v>28</v>
      </c>
      <c r="G248" s="8">
        <v>707</v>
      </c>
      <c r="H248" s="8">
        <v>1855</v>
      </c>
      <c r="I248" s="7">
        <v>6</v>
      </c>
      <c r="J248" s="7">
        <v>9</v>
      </c>
      <c r="K248" s="7"/>
      <c r="L248" s="7"/>
      <c r="M248" s="8"/>
      <c r="N248" s="10"/>
      <c r="O248" s="7"/>
      <c r="P248" s="7"/>
    </row>
    <row r="249" spans="1:16" ht="30.6" customHeight="1">
      <c r="A249" s="6" t="s">
        <v>335</v>
      </c>
      <c r="B249" s="7" t="s">
        <v>42</v>
      </c>
      <c r="C249" s="7">
        <v>2</v>
      </c>
      <c r="D249" s="7">
        <v>284</v>
      </c>
      <c r="E249" s="7">
        <v>471.8</v>
      </c>
      <c r="F249" s="7" t="s">
        <v>28</v>
      </c>
      <c r="G249" s="8">
        <v>471</v>
      </c>
      <c r="H249" s="8">
        <v>1180</v>
      </c>
      <c r="I249" s="7">
        <v>4</v>
      </c>
      <c r="J249" s="7">
        <v>9</v>
      </c>
      <c r="K249" s="7"/>
      <c r="L249" s="7"/>
      <c r="M249" s="8"/>
      <c r="N249" s="10"/>
      <c r="O249" s="7"/>
      <c r="P249" s="7"/>
    </row>
    <row r="250" spans="1:16" ht="30.6" customHeight="1">
      <c r="A250" s="6" t="s">
        <v>336</v>
      </c>
      <c r="B250" s="7" t="s">
        <v>42</v>
      </c>
      <c r="C250" s="7">
        <v>2</v>
      </c>
      <c r="D250" s="7">
        <v>299</v>
      </c>
      <c r="E250" s="7">
        <v>301.5</v>
      </c>
      <c r="F250" s="7" t="s">
        <v>28</v>
      </c>
      <c r="G250" s="8">
        <v>295</v>
      </c>
      <c r="H250" s="8">
        <v>933</v>
      </c>
      <c r="I250" s="7">
        <v>3</v>
      </c>
      <c r="J250" s="7">
        <v>9</v>
      </c>
      <c r="K250" s="7"/>
      <c r="L250" s="7"/>
      <c r="M250" s="8"/>
      <c r="N250" s="10"/>
      <c r="O250" s="7"/>
      <c r="P250" s="7"/>
    </row>
    <row r="251" spans="1:16" ht="30.6" customHeight="1">
      <c r="A251" s="6" t="s">
        <v>337</v>
      </c>
      <c r="B251" s="7" t="s">
        <v>256</v>
      </c>
      <c r="C251" s="7">
        <v>2</v>
      </c>
      <c r="D251" s="7">
        <v>200</v>
      </c>
      <c r="E251" s="7">
        <v>139.5</v>
      </c>
      <c r="F251" s="7" t="s">
        <v>338</v>
      </c>
      <c r="G251" s="8">
        <v>139.5</v>
      </c>
      <c r="H251" s="8">
        <v>2052</v>
      </c>
      <c r="I251" s="7">
        <v>6</v>
      </c>
      <c r="J251" s="7">
        <v>11</v>
      </c>
      <c r="K251" s="7"/>
      <c r="L251" s="7"/>
      <c r="M251" s="8"/>
      <c r="N251" s="10"/>
      <c r="O251" s="7"/>
      <c r="P251" s="7"/>
    </row>
    <row r="252" spans="1:16" ht="30.6" customHeight="1">
      <c r="A252" s="6" t="s">
        <v>337</v>
      </c>
      <c r="B252" s="7"/>
      <c r="C252" s="7">
        <v>2</v>
      </c>
      <c r="D252" s="7">
        <v>292</v>
      </c>
      <c r="E252" s="7">
        <v>719</v>
      </c>
      <c r="F252" s="7" t="s">
        <v>28</v>
      </c>
      <c r="G252" s="8">
        <v>707</v>
      </c>
      <c r="H252" s="8"/>
      <c r="I252" s="7"/>
      <c r="J252" s="7"/>
      <c r="K252" s="7"/>
      <c r="L252" s="7"/>
      <c r="M252" s="8"/>
      <c r="N252" s="10"/>
      <c r="O252" s="7"/>
      <c r="P252" s="7"/>
    </row>
    <row r="253" spans="1:16" ht="30.6" customHeight="1">
      <c r="A253" s="6" t="s">
        <v>339</v>
      </c>
      <c r="B253" s="7" t="s">
        <v>256</v>
      </c>
      <c r="C253" s="7">
        <v>2</v>
      </c>
      <c r="D253" s="7">
        <v>287</v>
      </c>
      <c r="E253" s="7">
        <v>235.6</v>
      </c>
      <c r="F253" s="7" t="s">
        <v>28</v>
      </c>
      <c r="G253" s="8">
        <v>382</v>
      </c>
      <c r="H253" s="8">
        <v>1710</v>
      </c>
      <c r="I253" s="7">
        <v>5</v>
      </c>
      <c r="J253" s="7">
        <v>6</v>
      </c>
      <c r="K253" s="7"/>
      <c r="L253" s="7"/>
      <c r="M253" s="8"/>
      <c r="N253" s="10"/>
      <c r="O253" s="7"/>
      <c r="P253" s="7"/>
    </row>
    <row r="254" spans="1:16" ht="30.6" customHeight="1">
      <c r="A254" s="6" t="s">
        <v>340</v>
      </c>
      <c r="B254" s="7" t="s">
        <v>42</v>
      </c>
      <c r="C254" s="7">
        <v>2</v>
      </c>
      <c r="D254" s="7">
        <v>278</v>
      </c>
      <c r="E254" s="7">
        <v>709.5</v>
      </c>
      <c r="F254" s="7" t="s">
        <v>28</v>
      </c>
      <c r="G254" s="8">
        <v>709</v>
      </c>
      <c r="H254" s="8">
        <v>2291.4</v>
      </c>
      <c r="I254" s="7">
        <v>6.7</v>
      </c>
      <c r="J254" s="7">
        <v>24</v>
      </c>
      <c r="K254" s="7"/>
      <c r="L254" s="7"/>
      <c r="M254" s="8"/>
      <c r="N254" s="10"/>
      <c r="O254" s="7"/>
      <c r="P254" s="7"/>
    </row>
    <row r="255" spans="1:16" ht="30.6" customHeight="1">
      <c r="A255" s="6" t="s">
        <v>341</v>
      </c>
      <c r="B255" s="7" t="s">
        <v>33</v>
      </c>
      <c r="C255" s="7">
        <v>2</v>
      </c>
      <c r="D255" s="7">
        <v>240</v>
      </c>
      <c r="E255" s="7">
        <v>324.3</v>
      </c>
      <c r="F255" s="7" t="s">
        <v>28</v>
      </c>
      <c r="G255" s="8">
        <v>319</v>
      </c>
      <c r="H255" s="8">
        <v>638</v>
      </c>
      <c r="I255" s="7">
        <v>2.1</v>
      </c>
      <c r="J255" s="7"/>
      <c r="K255" s="7"/>
      <c r="L255" s="7"/>
      <c r="M255" s="8"/>
      <c r="N255" s="10"/>
      <c r="O255" s="7"/>
      <c r="P255" s="7"/>
    </row>
    <row r="256" spans="1:16" ht="30.6" customHeight="1">
      <c r="A256" s="6" t="s">
        <v>342</v>
      </c>
      <c r="B256" s="7" t="s">
        <v>42</v>
      </c>
      <c r="C256" s="7">
        <v>2</v>
      </c>
      <c r="D256" s="7">
        <v>293</v>
      </c>
      <c r="E256" s="7">
        <v>299.60000000000002</v>
      </c>
      <c r="F256" s="7" t="s">
        <v>28</v>
      </c>
      <c r="G256" s="8">
        <v>295</v>
      </c>
      <c r="H256" s="8">
        <v>1026</v>
      </c>
      <c r="I256" s="7">
        <v>3</v>
      </c>
      <c r="J256" s="7">
        <v>6</v>
      </c>
      <c r="K256" s="7"/>
      <c r="L256" s="7"/>
      <c r="M256" s="8"/>
      <c r="N256" s="10"/>
      <c r="O256" s="7"/>
      <c r="P256" s="7"/>
    </row>
    <row r="257" spans="1:16" ht="30.6" customHeight="1">
      <c r="A257" s="6" t="s">
        <v>343</v>
      </c>
      <c r="B257" s="7" t="s">
        <v>344</v>
      </c>
      <c r="C257" s="7">
        <v>2</v>
      </c>
      <c r="D257" s="7">
        <v>149</v>
      </c>
      <c r="E257" s="7">
        <v>417.5</v>
      </c>
      <c r="F257" s="7" t="s">
        <v>28</v>
      </c>
      <c r="G257" s="8">
        <v>388</v>
      </c>
      <c r="H257" s="8">
        <v>960</v>
      </c>
      <c r="I257" s="7">
        <v>3</v>
      </c>
      <c r="J257" s="7">
        <v>9</v>
      </c>
      <c r="K257" s="7"/>
      <c r="L257" s="7"/>
      <c r="M257" s="8"/>
      <c r="N257" s="10"/>
      <c r="O257" s="7"/>
      <c r="P257" s="7"/>
    </row>
    <row r="258" spans="1:16" ht="30.6" customHeight="1">
      <c r="A258" s="6" t="s">
        <v>345</v>
      </c>
      <c r="B258" s="7" t="s">
        <v>256</v>
      </c>
      <c r="C258" s="7">
        <v>2</v>
      </c>
      <c r="D258" s="7">
        <v>199</v>
      </c>
      <c r="E258" s="7">
        <v>134.6</v>
      </c>
      <c r="F258" s="7" t="s">
        <v>338</v>
      </c>
      <c r="G258" s="8">
        <v>134.6</v>
      </c>
      <c r="H258" s="8">
        <v>134.6</v>
      </c>
      <c r="I258" s="7">
        <v>4</v>
      </c>
      <c r="J258" s="7">
        <v>11</v>
      </c>
      <c r="K258" s="7"/>
      <c r="L258" s="7"/>
      <c r="M258" s="8"/>
      <c r="N258" s="10"/>
      <c r="O258" s="7"/>
      <c r="P258" s="7"/>
    </row>
    <row r="259" spans="1:16" ht="30.6" customHeight="1">
      <c r="A259" s="6" t="s">
        <v>345</v>
      </c>
      <c r="B259" s="7"/>
      <c r="C259" s="7">
        <v>2</v>
      </c>
      <c r="D259" s="7">
        <v>282</v>
      </c>
      <c r="E259" s="7">
        <v>706</v>
      </c>
      <c r="F259" s="7" t="s">
        <v>28</v>
      </c>
      <c r="G259" s="8">
        <v>707</v>
      </c>
      <c r="H259" s="8">
        <v>1263.2</v>
      </c>
      <c r="I259" s="7"/>
      <c r="J259" s="7"/>
      <c r="K259" s="7"/>
      <c r="L259" s="7"/>
      <c r="M259" s="8"/>
      <c r="N259" s="10"/>
      <c r="O259" s="7"/>
      <c r="P259" s="7"/>
    </row>
    <row r="260" spans="1:16" ht="30.6" customHeight="1">
      <c r="A260" s="6" t="s">
        <v>346</v>
      </c>
      <c r="B260" s="7" t="s">
        <v>42</v>
      </c>
      <c r="C260" s="7">
        <v>2</v>
      </c>
      <c r="D260" s="7">
        <v>283</v>
      </c>
      <c r="E260" s="7">
        <v>472.8</v>
      </c>
      <c r="F260" s="7" t="s">
        <v>28</v>
      </c>
      <c r="G260" s="8">
        <v>471</v>
      </c>
      <c r="H260" s="8">
        <v>1366</v>
      </c>
      <c r="I260" s="7">
        <v>4</v>
      </c>
      <c r="J260" s="7">
        <v>14</v>
      </c>
      <c r="K260" s="7"/>
      <c r="L260" s="7"/>
      <c r="M260" s="8"/>
      <c r="N260" s="10"/>
      <c r="O260" s="7"/>
      <c r="P260" s="7"/>
    </row>
    <row r="261" spans="1:16" ht="30.6" customHeight="1">
      <c r="A261" s="6" t="s">
        <v>347</v>
      </c>
      <c r="B261" s="7" t="s">
        <v>42</v>
      </c>
      <c r="C261" s="7">
        <v>2</v>
      </c>
      <c r="D261" s="7">
        <v>309</v>
      </c>
      <c r="E261" s="7">
        <v>598.1</v>
      </c>
      <c r="F261" s="7" t="s">
        <v>28</v>
      </c>
      <c r="G261" s="8">
        <v>589</v>
      </c>
      <c r="H261" s="8">
        <v>1710</v>
      </c>
      <c r="I261" s="7">
        <v>5</v>
      </c>
      <c r="J261" s="7">
        <v>15</v>
      </c>
      <c r="K261" s="7"/>
      <c r="L261" s="7"/>
      <c r="M261" s="8"/>
      <c r="N261" s="10"/>
      <c r="O261" s="7"/>
      <c r="P261" s="7"/>
    </row>
    <row r="262" spans="1:16" ht="30.6" customHeight="1">
      <c r="A262" s="6" t="s">
        <v>348</v>
      </c>
      <c r="B262" s="7" t="s">
        <v>42</v>
      </c>
      <c r="C262" s="7">
        <v>2</v>
      </c>
      <c r="D262" s="7">
        <v>310</v>
      </c>
      <c r="E262" s="7">
        <v>596.70000000000005</v>
      </c>
      <c r="F262" s="7" t="s">
        <v>28</v>
      </c>
      <c r="G262" s="8">
        <v>589</v>
      </c>
      <c r="H262" s="8">
        <v>1710</v>
      </c>
      <c r="I262" s="7">
        <v>5</v>
      </c>
      <c r="J262" s="7">
        <v>15</v>
      </c>
      <c r="K262" s="7"/>
      <c r="L262" s="7"/>
      <c r="M262" s="8"/>
      <c r="N262" s="10"/>
      <c r="O262" s="7"/>
      <c r="P262" s="7"/>
    </row>
    <row r="263" spans="1:16" ht="30.6" customHeight="1">
      <c r="A263" s="6" t="s">
        <v>349</v>
      </c>
      <c r="B263" s="7" t="s">
        <v>33</v>
      </c>
      <c r="C263" s="7">
        <v>2</v>
      </c>
      <c r="D263" s="7">
        <v>179</v>
      </c>
      <c r="E263" s="7">
        <v>495.4</v>
      </c>
      <c r="F263" s="7" t="s">
        <v>28</v>
      </c>
      <c r="G263" s="8">
        <v>489</v>
      </c>
      <c r="H263" s="8">
        <v>810</v>
      </c>
      <c r="I263" s="7">
        <v>2</v>
      </c>
      <c r="J263" s="7">
        <v>10</v>
      </c>
      <c r="K263" s="7"/>
      <c r="L263" s="7"/>
      <c r="M263" s="8"/>
      <c r="N263" s="10"/>
      <c r="O263" s="7"/>
      <c r="P263" s="7"/>
    </row>
    <row r="264" spans="1:16" ht="30.6" customHeight="1">
      <c r="A264" s="6" t="s">
        <v>350</v>
      </c>
      <c r="B264" s="7" t="s">
        <v>351</v>
      </c>
      <c r="C264" s="7">
        <v>2</v>
      </c>
      <c r="D264" s="7">
        <v>41</v>
      </c>
      <c r="E264" s="7">
        <v>487.9</v>
      </c>
      <c r="F264" s="7" t="s">
        <v>28</v>
      </c>
      <c r="G264" s="8">
        <v>489</v>
      </c>
      <c r="H264" s="8">
        <v>1210</v>
      </c>
      <c r="I264" s="7">
        <v>4</v>
      </c>
      <c r="J264" s="7">
        <v>10</v>
      </c>
      <c r="K264" s="7"/>
      <c r="L264" s="7"/>
      <c r="M264" s="8"/>
      <c r="N264" s="10"/>
      <c r="O264" s="7"/>
      <c r="P264" s="7"/>
    </row>
    <row r="265" spans="1:16" ht="30.6" customHeight="1">
      <c r="A265" s="6" t="s">
        <v>352</v>
      </c>
      <c r="B265" s="7" t="s">
        <v>33</v>
      </c>
      <c r="C265" s="7">
        <v>2</v>
      </c>
      <c r="D265" s="7">
        <v>298</v>
      </c>
      <c r="E265" s="7">
        <v>301.7</v>
      </c>
      <c r="F265" s="7" t="s">
        <v>28</v>
      </c>
      <c r="G265" s="8">
        <v>295</v>
      </c>
      <c r="H265" s="8">
        <v>590</v>
      </c>
      <c r="I265" s="7">
        <v>2</v>
      </c>
      <c r="J265" s="7">
        <v>5</v>
      </c>
      <c r="K265" s="7"/>
      <c r="L265" s="7"/>
      <c r="M265" s="8"/>
      <c r="N265" s="10"/>
      <c r="O265" s="7"/>
      <c r="P265" s="7"/>
    </row>
    <row r="266" spans="1:16" ht="30.6" customHeight="1">
      <c r="A266" s="6" t="s">
        <v>353</v>
      </c>
      <c r="B266" s="7" t="s">
        <v>33</v>
      </c>
      <c r="C266" s="7">
        <v>2</v>
      </c>
      <c r="D266" s="7">
        <v>235</v>
      </c>
      <c r="E266" s="7">
        <v>502.2</v>
      </c>
      <c r="F266" s="7" t="s">
        <v>28</v>
      </c>
      <c r="G266" s="8">
        <v>489</v>
      </c>
      <c r="H266" s="8">
        <v>800</v>
      </c>
      <c r="I266" s="7">
        <v>2.7</v>
      </c>
      <c r="J266" s="7">
        <v>20</v>
      </c>
      <c r="K266" s="7"/>
      <c r="L266" s="7"/>
      <c r="M266" s="8"/>
      <c r="N266" s="10"/>
      <c r="O266" s="7"/>
      <c r="P266" s="7"/>
    </row>
    <row r="267" spans="1:16" ht="30.6" customHeight="1">
      <c r="A267" s="6" t="s">
        <v>354</v>
      </c>
      <c r="B267" s="7" t="s">
        <v>33</v>
      </c>
      <c r="C267" s="7">
        <v>2</v>
      </c>
      <c r="D267" s="7">
        <v>132</v>
      </c>
      <c r="E267" s="7">
        <v>347.7</v>
      </c>
      <c r="F267" s="7" t="s">
        <v>28</v>
      </c>
      <c r="G267" s="8">
        <v>342</v>
      </c>
      <c r="H267" s="8">
        <v>684</v>
      </c>
      <c r="I267" s="7">
        <v>2.2999999999999998</v>
      </c>
      <c r="J267" s="7">
        <v>1</v>
      </c>
      <c r="K267" s="7"/>
      <c r="L267" s="7"/>
      <c r="M267" s="8"/>
      <c r="N267" s="10"/>
      <c r="O267" s="7"/>
      <c r="P267" s="7"/>
    </row>
    <row r="268" spans="1:16" ht="30.6" customHeight="1">
      <c r="A268" s="6" t="s">
        <v>355</v>
      </c>
      <c r="B268" s="7"/>
      <c r="C268" s="7">
        <v>2</v>
      </c>
      <c r="D268" s="7">
        <v>262</v>
      </c>
      <c r="E268" s="7">
        <v>494.3</v>
      </c>
      <c r="F268" s="7" t="s">
        <v>28</v>
      </c>
      <c r="G268" s="8">
        <v>315</v>
      </c>
      <c r="H268" s="8">
        <v>315</v>
      </c>
      <c r="I268" s="7">
        <v>1</v>
      </c>
      <c r="J268" s="7">
        <v>3</v>
      </c>
      <c r="K268" s="7"/>
      <c r="L268" s="7"/>
      <c r="M268" s="8"/>
      <c r="N268" s="10"/>
      <c r="O268" s="7"/>
      <c r="P268" s="7"/>
    </row>
    <row r="269" spans="1:16" ht="30.6" customHeight="1">
      <c r="A269" s="6" t="s">
        <v>356</v>
      </c>
      <c r="B269" s="7"/>
      <c r="C269" s="7">
        <v>2</v>
      </c>
      <c r="D269" s="7">
        <v>213</v>
      </c>
      <c r="E269" s="7">
        <v>741.6</v>
      </c>
      <c r="F269" s="7" t="s">
        <v>28</v>
      </c>
      <c r="G269" s="8">
        <v>738</v>
      </c>
      <c r="H269" s="8"/>
      <c r="I269" s="7"/>
      <c r="J269" s="7"/>
      <c r="K269" s="7"/>
      <c r="L269" s="7"/>
      <c r="M269" s="8"/>
      <c r="N269" s="10"/>
      <c r="O269" s="7"/>
      <c r="P269" s="7"/>
    </row>
    <row r="270" spans="1:16" ht="30.6" customHeight="1">
      <c r="A270" s="6" t="s">
        <v>357</v>
      </c>
      <c r="B270" s="7" t="s">
        <v>33</v>
      </c>
      <c r="C270" s="7">
        <v>2</v>
      </c>
      <c r="D270" s="7">
        <v>188</v>
      </c>
      <c r="E270" s="7">
        <v>500.1</v>
      </c>
      <c r="F270" s="7" t="s">
        <v>28</v>
      </c>
      <c r="G270" s="8">
        <v>489</v>
      </c>
      <c r="H270" s="8">
        <v>800</v>
      </c>
      <c r="I270" s="7">
        <v>2.7</v>
      </c>
      <c r="J270" s="7">
        <v>5</v>
      </c>
      <c r="K270" s="7"/>
      <c r="L270" s="7"/>
      <c r="M270" s="8"/>
      <c r="N270" s="10"/>
      <c r="O270" s="7"/>
      <c r="P270" s="7"/>
    </row>
    <row r="271" spans="1:16" ht="30.6" customHeight="1">
      <c r="A271" s="6" t="s">
        <v>358</v>
      </c>
      <c r="B271" s="7" t="s">
        <v>359</v>
      </c>
      <c r="C271" s="7">
        <v>2</v>
      </c>
      <c r="D271" s="7">
        <v>2</v>
      </c>
      <c r="E271" s="7">
        <v>741.1</v>
      </c>
      <c r="F271" s="7" t="s">
        <v>28</v>
      </c>
      <c r="G271" s="8">
        <v>295</v>
      </c>
      <c r="H271" s="8">
        <v>590</v>
      </c>
      <c r="I271" s="7">
        <v>2</v>
      </c>
      <c r="J271" s="7">
        <v>11</v>
      </c>
      <c r="K271" s="7"/>
      <c r="L271" s="7"/>
      <c r="M271" s="8"/>
      <c r="N271" s="10"/>
      <c r="O271" s="7"/>
      <c r="P271" s="7"/>
    </row>
    <row r="272" spans="1:16" ht="30.6" customHeight="1">
      <c r="A272" s="6" t="s">
        <v>360</v>
      </c>
      <c r="B272" s="7" t="s">
        <v>33</v>
      </c>
      <c r="C272" s="7">
        <v>2</v>
      </c>
      <c r="D272" s="7">
        <v>217</v>
      </c>
      <c r="E272" s="7">
        <v>741.6</v>
      </c>
      <c r="F272" s="7" t="s">
        <v>28</v>
      </c>
      <c r="G272" s="8">
        <v>733</v>
      </c>
      <c r="H272" s="8">
        <v>1199</v>
      </c>
      <c r="I272" s="7">
        <v>4</v>
      </c>
      <c r="J272" s="7">
        <v>9</v>
      </c>
      <c r="K272" s="7"/>
      <c r="L272" s="7"/>
      <c r="M272" s="8"/>
      <c r="N272" s="10"/>
      <c r="O272" s="7"/>
      <c r="P272" s="7"/>
    </row>
    <row r="273" spans="1:16" ht="30.6" customHeight="1">
      <c r="A273" s="6" t="s">
        <v>361</v>
      </c>
      <c r="B273" s="7" t="s">
        <v>33</v>
      </c>
      <c r="C273" s="7">
        <v>2</v>
      </c>
      <c r="D273" s="7">
        <v>258</v>
      </c>
      <c r="E273" s="7">
        <v>861.5</v>
      </c>
      <c r="F273" s="7" t="s">
        <v>28</v>
      </c>
      <c r="G273" s="8">
        <v>856</v>
      </c>
      <c r="H273" s="8">
        <v>1440</v>
      </c>
      <c r="I273" s="7">
        <v>4.7</v>
      </c>
      <c r="J273" s="7">
        <v>21</v>
      </c>
      <c r="K273" s="7"/>
      <c r="L273" s="7"/>
      <c r="M273" s="8"/>
      <c r="N273" s="10"/>
      <c r="O273" s="7"/>
      <c r="P273" s="7"/>
    </row>
    <row r="274" spans="1:16" ht="30.6" customHeight="1">
      <c r="A274" s="6" t="s">
        <v>362</v>
      </c>
      <c r="B274" s="7" t="s">
        <v>33</v>
      </c>
      <c r="C274" s="7">
        <v>2</v>
      </c>
      <c r="D274" s="7">
        <v>249</v>
      </c>
      <c r="E274" s="7">
        <v>624.5</v>
      </c>
      <c r="F274" s="7" t="s">
        <v>28</v>
      </c>
      <c r="G274" s="8">
        <v>616</v>
      </c>
      <c r="H274" s="8">
        <v>1004</v>
      </c>
      <c r="I274" s="7">
        <v>3.4</v>
      </c>
      <c r="J274" s="7">
        <v>15</v>
      </c>
      <c r="K274" s="7"/>
      <c r="L274" s="7"/>
      <c r="M274" s="8"/>
      <c r="N274" s="10"/>
      <c r="O274" s="7"/>
      <c r="P274" s="7"/>
    </row>
    <row r="275" spans="1:16" ht="30.6" customHeight="1">
      <c r="A275" s="6" t="s">
        <v>363</v>
      </c>
      <c r="B275" s="7" t="s">
        <v>33</v>
      </c>
      <c r="C275" s="7">
        <v>2</v>
      </c>
      <c r="D275" s="7">
        <v>245</v>
      </c>
      <c r="E275" s="7">
        <v>737.5</v>
      </c>
      <c r="F275" s="7" t="s">
        <v>28</v>
      </c>
      <c r="G275" s="8">
        <v>733</v>
      </c>
      <c r="H275" s="8">
        <v>1199</v>
      </c>
      <c r="I275" s="7">
        <v>4</v>
      </c>
      <c r="J275" s="7">
        <v>16</v>
      </c>
      <c r="K275" s="7"/>
      <c r="L275" s="7"/>
      <c r="M275" s="8"/>
      <c r="N275" s="10"/>
      <c r="O275" s="7"/>
      <c r="P275" s="7"/>
    </row>
    <row r="276" spans="1:16" ht="30.6" customHeight="1">
      <c r="A276" s="6" t="s">
        <v>364</v>
      </c>
      <c r="B276" s="7" t="s">
        <v>33</v>
      </c>
      <c r="C276" s="7">
        <v>2</v>
      </c>
      <c r="D276" s="7">
        <v>184</v>
      </c>
      <c r="E276" s="7">
        <v>500</v>
      </c>
      <c r="F276" s="7" t="s">
        <v>28</v>
      </c>
      <c r="G276" s="8">
        <v>489</v>
      </c>
      <c r="H276" s="8">
        <v>885</v>
      </c>
      <c r="I276" s="7">
        <v>3</v>
      </c>
      <c r="J276" s="7">
        <v>10</v>
      </c>
      <c r="K276" s="7"/>
      <c r="L276" s="7"/>
      <c r="M276" s="8"/>
      <c r="N276" s="10"/>
      <c r="O276" s="7"/>
      <c r="P276" s="7"/>
    </row>
    <row r="277" spans="1:16" ht="30.6" customHeight="1">
      <c r="A277" s="6" t="s">
        <v>365</v>
      </c>
      <c r="B277" s="7"/>
      <c r="C277" s="7">
        <v>2</v>
      </c>
      <c r="D277" s="7">
        <v>248</v>
      </c>
      <c r="E277" s="7">
        <v>492</v>
      </c>
      <c r="F277" s="7" t="s">
        <v>28</v>
      </c>
      <c r="G277" s="8">
        <v>489</v>
      </c>
      <c r="H277" s="8"/>
      <c r="I277" s="7"/>
      <c r="J277" s="7"/>
      <c r="K277" s="7"/>
      <c r="L277" s="7"/>
      <c r="M277" s="8"/>
      <c r="N277" s="10"/>
      <c r="O277" s="7"/>
      <c r="P277" s="7"/>
    </row>
    <row r="278" spans="1:16" ht="30.6" customHeight="1">
      <c r="A278" s="6" t="s">
        <v>366</v>
      </c>
      <c r="B278" s="7" t="s">
        <v>33</v>
      </c>
      <c r="C278" s="7">
        <v>2</v>
      </c>
      <c r="D278" s="7">
        <v>209</v>
      </c>
      <c r="E278" s="7">
        <v>616.70000000000005</v>
      </c>
      <c r="F278" s="7" t="s">
        <v>28</v>
      </c>
      <c r="G278" s="8">
        <v>616</v>
      </c>
      <c r="H278" s="8">
        <v>1004</v>
      </c>
      <c r="I278" s="7">
        <v>3.4</v>
      </c>
      <c r="J278" s="7">
        <v>6</v>
      </c>
      <c r="K278" s="7"/>
      <c r="L278" s="7"/>
      <c r="M278" s="8"/>
      <c r="N278" s="10"/>
      <c r="O278" s="7"/>
      <c r="P278" s="7"/>
    </row>
    <row r="279" spans="1:16" ht="30.6" customHeight="1">
      <c r="A279" s="6" t="s">
        <v>367</v>
      </c>
      <c r="B279" s="7" t="s">
        <v>33</v>
      </c>
      <c r="C279" s="7">
        <v>2</v>
      </c>
      <c r="D279" s="7">
        <v>157</v>
      </c>
      <c r="E279" s="7">
        <v>607.20000000000005</v>
      </c>
      <c r="F279" s="7" t="s">
        <v>28</v>
      </c>
      <c r="G279" s="8">
        <v>588</v>
      </c>
      <c r="H279" s="8">
        <v>954</v>
      </c>
      <c r="I279" s="7">
        <v>3.2</v>
      </c>
      <c r="J279" s="7">
        <v>10</v>
      </c>
      <c r="K279" s="7"/>
      <c r="L279" s="7"/>
      <c r="M279" s="8"/>
      <c r="N279" s="10"/>
      <c r="O279" s="7"/>
      <c r="P279" s="7"/>
    </row>
    <row r="280" spans="1:16" ht="30.6" customHeight="1">
      <c r="A280" s="6" t="s">
        <v>368</v>
      </c>
      <c r="B280" s="7"/>
      <c r="C280" s="7">
        <v>2</v>
      </c>
      <c r="D280" s="7">
        <v>176</v>
      </c>
      <c r="E280" s="7">
        <v>371.6</v>
      </c>
      <c r="F280" s="7" t="s">
        <v>28</v>
      </c>
      <c r="G280" s="8">
        <v>366</v>
      </c>
      <c r="H280" s="8"/>
      <c r="I280" s="7"/>
      <c r="J280" s="7"/>
      <c r="K280" s="7"/>
      <c r="L280" s="7"/>
      <c r="M280" s="8"/>
      <c r="N280" s="10"/>
      <c r="O280" s="7"/>
      <c r="P280" s="7"/>
    </row>
    <row r="281" spans="1:16" ht="30.6" customHeight="1">
      <c r="A281" s="6" t="s">
        <v>369</v>
      </c>
      <c r="B281" s="7" t="s">
        <v>33</v>
      </c>
      <c r="C281" s="7">
        <v>2</v>
      </c>
      <c r="D281" s="7">
        <v>239</v>
      </c>
      <c r="E281" s="7">
        <v>565.5</v>
      </c>
      <c r="F281" s="7" t="s">
        <v>28</v>
      </c>
      <c r="G281" s="8">
        <v>559</v>
      </c>
      <c r="H281" s="8">
        <v>909</v>
      </c>
      <c r="I281" s="7">
        <v>3</v>
      </c>
      <c r="J281" s="7">
        <v>12</v>
      </c>
      <c r="K281" s="7"/>
      <c r="L281" s="7"/>
      <c r="M281" s="8"/>
      <c r="N281" s="10"/>
      <c r="O281" s="7"/>
      <c r="P281" s="7"/>
    </row>
    <row r="282" spans="1:16" ht="30.6" customHeight="1">
      <c r="A282" s="6" t="s">
        <v>370</v>
      </c>
      <c r="B282" s="7" t="s">
        <v>42</v>
      </c>
      <c r="C282" s="7">
        <v>2</v>
      </c>
      <c r="D282" s="7">
        <v>4</v>
      </c>
      <c r="E282" s="7">
        <v>489.6</v>
      </c>
      <c r="F282" s="7" t="s">
        <v>28</v>
      </c>
      <c r="G282" s="8">
        <v>489</v>
      </c>
      <c r="H282" s="8">
        <v>1181</v>
      </c>
      <c r="I282" s="7">
        <v>4</v>
      </c>
      <c r="J282" s="7">
        <v>15</v>
      </c>
      <c r="K282" s="7"/>
      <c r="L282" s="7"/>
      <c r="M282" s="8"/>
      <c r="N282" s="10"/>
      <c r="O282" s="7"/>
      <c r="P282" s="7"/>
    </row>
    <row r="283" spans="1:16" ht="30.6" customHeight="1">
      <c r="A283" s="6" t="s">
        <v>370</v>
      </c>
      <c r="B283" s="7"/>
      <c r="C283" s="7">
        <v>2</v>
      </c>
      <c r="D283" s="7">
        <v>60</v>
      </c>
      <c r="E283" s="7">
        <v>317.39999999999998</v>
      </c>
      <c r="F283" s="7" t="s">
        <v>28</v>
      </c>
      <c r="G283" s="8">
        <v>311</v>
      </c>
      <c r="H283" s="8"/>
      <c r="I283" s="7"/>
      <c r="J283" s="7"/>
      <c r="K283" s="7"/>
      <c r="L283" s="7"/>
      <c r="M283" s="8"/>
      <c r="N283" s="10"/>
      <c r="O283" s="7"/>
      <c r="P283" s="7"/>
    </row>
    <row r="284" spans="1:16" ht="30.6" customHeight="1">
      <c r="A284" s="6" t="s">
        <v>371</v>
      </c>
      <c r="B284" s="7" t="s">
        <v>33</v>
      </c>
      <c r="C284" s="7">
        <v>2</v>
      </c>
      <c r="D284" s="7">
        <v>192</v>
      </c>
      <c r="E284" s="7">
        <v>352.9</v>
      </c>
      <c r="F284" s="7" t="s">
        <v>28</v>
      </c>
      <c r="G284" s="8">
        <v>344</v>
      </c>
      <c r="H284" s="8">
        <v>728</v>
      </c>
      <c r="I284" s="7">
        <v>2.4</v>
      </c>
      <c r="J284" s="7"/>
      <c r="K284" s="7"/>
      <c r="L284" s="7"/>
      <c r="M284" s="8"/>
      <c r="N284" s="10"/>
      <c r="O284" s="7"/>
      <c r="P284" s="7"/>
    </row>
    <row r="285" spans="1:16" ht="30.6" customHeight="1">
      <c r="A285" s="6" t="s">
        <v>372</v>
      </c>
      <c r="B285" s="7" t="s">
        <v>42</v>
      </c>
      <c r="C285" s="7">
        <v>2</v>
      </c>
      <c r="D285" s="7">
        <v>89</v>
      </c>
      <c r="E285" s="7">
        <v>491.5</v>
      </c>
      <c r="F285" s="7" t="s">
        <v>28</v>
      </c>
      <c r="G285" s="8">
        <v>489</v>
      </c>
      <c r="H285" s="8">
        <v>1180</v>
      </c>
      <c r="I285" s="7">
        <v>4</v>
      </c>
      <c r="J285" s="7">
        <v>13</v>
      </c>
      <c r="K285" s="7"/>
      <c r="L285" s="7"/>
      <c r="M285" s="8"/>
      <c r="N285" s="10"/>
      <c r="O285" s="7"/>
      <c r="P285" s="7"/>
    </row>
    <row r="286" spans="1:16" ht="30.6" customHeight="1">
      <c r="A286" s="6" t="s">
        <v>372</v>
      </c>
      <c r="B286" s="7" t="s">
        <v>42</v>
      </c>
      <c r="C286" s="7">
        <v>2</v>
      </c>
      <c r="D286" s="7">
        <v>92</v>
      </c>
      <c r="E286" s="7">
        <v>492.6</v>
      </c>
      <c r="F286" s="7" t="s">
        <v>28</v>
      </c>
      <c r="G286" s="8"/>
      <c r="H286" s="8"/>
      <c r="I286" s="7"/>
      <c r="J286" s="7"/>
      <c r="K286" s="7"/>
      <c r="L286" s="7"/>
      <c r="M286" s="8"/>
      <c r="N286" s="10"/>
      <c r="O286" s="7"/>
      <c r="P286" s="7"/>
    </row>
    <row r="287" spans="1:16" ht="30.6" customHeight="1">
      <c r="A287" s="6" t="s">
        <v>373</v>
      </c>
      <c r="B287" s="7" t="s">
        <v>374</v>
      </c>
      <c r="C287" s="7">
        <v>2</v>
      </c>
      <c r="D287" s="7">
        <v>24</v>
      </c>
      <c r="E287" s="7">
        <v>834.9</v>
      </c>
      <c r="F287" s="7" t="s">
        <v>28</v>
      </c>
      <c r="G287" s="8">
        <v>856</v>
      </c>
      <c r="H287" s="8">
        <v>2308</v>
      </c>
      <c r="I287" s="7">
        <v>7.8</v>
      </c>
      <c r="J287" s="7">
        <v>15</v>
      </c>
      <c r="K287" s="7"/>
      <c r="L287" s="7"/>
      <c r="M287" s="8"/>
      <c r="N287" s="10"/>
      <c r="O287" s="7"/>
      <c r="P287" s="7"/>
    </row>
    <row r="288" spans="1:16" ht="30.6" customHeight="1">
      <c r="A288" s="11" t="s">
        <v>375</v>
      </c>
      <c r="B288" s="12">
        <v>1</v>
      </c>
      <c r="C288" s="12">
        <v>2</v>
      </c>
      <c r="D288" s="7"/>
      <c r="E288" s="7"/>
      <c r="F288" s="7"/>
      <c r="G288" s="13">
        <v>295</v>
      </c>
      <c r="H288" s="13">
        <v>295</v>
      </c>
      <c r="I288" s="7"/>
      <c r="J288" s="7"/>
      <c r="K288" s="7"/>
      <c r="L288" s="7"/>
      <c r="M288" s="8"/>
      <c r="N288" s="10"/>
      <c r="O288" s="7"/>
      <c r="P288" s="7"/>
    </row>
    <row r="289" spans="1:16" ht="30.6" customHeight="1">
      <c r="A289" s="11" t="s">
        <v>376</v>
      </c>
      <c r="B289" s="12">
        <v>5</v>
      </c>
      <c r="C289" s="12">
        <v>2</v>
      </c>
      <c r="D289" s="7"/>
      <c r="E289" s="7"/>
      <c r="F289" s="7"/>
      <c r="G289" s="13">
        <v>489</v>
      </c>
      <c r="H289" s="13">
        <v>489</v>
      </c>
      <c r="I289" s="7"/>
      <c r="J289" s="7"/>
      <c r="K289" s="7"/>
      <c r="L289" s="7"/>
      <c r="M289" s="8"/>
      <c r="N289" s="10"/>
      <c r="O289" s="7"/>
      <c r="P289" s="7"/>
    </row>
  </sheetData>
  <mergeCells count="1">
    <mergeCell ref="A1:P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418"/>
  <sheetViews>
    <sheetView zoomScale="85" zoomScaleNormal="85" workbookViewId="0">
      <pane xSplit="4" ySplit="7" topLeftCell="I277" activePane="bottomRight" state="frozen"/>
      <selection pane="topRight"/>
      <selection pane="bottomLeft"/>
      <selection pane="bottomRight" activeCell="J270" sqref="J270:J282"/>
    </sheetView>
  </sheetViews>
  <sheetFormatPr defaultColWidth="9" defaultRowHeight="15"/>
  <cols>
    <col min="1" max="1" width="5.42578125" style="163" customWidth="1"/>
    <col min="2" max="2" width="27" style="155" customWidth="1"/>
    <col min="3" max="3" width="6" style="155" hidden="1" customWidth="1"/>
    <col min="4" max="4" width="5.42578125" style="155" customWidth="1"/>
    <col min="5" max="5" width="6.42578125" style="155" customWidth="1"/>
    <col min="6" max="6" width="9.5703125" style="163" customWidth="1"/>
    <col min="7" max="7" width="6.42578125" style="163" customWidth="1"/>
    <col min="8" max="8" width="8.7109375" style="163" customWidth="1"/>
    <col min="9" max="9" width="8.5703125" style="163" customWidth="1"/>
    <col min="10" max="10" width="10" style="163" customWidth="1"/>
    <col min="11" max="11" width="9.140625" style="163" customWidth="1"/>
    <col min="12" max="12" width="6.5703125" style="163" hidden="1" customWidth="1"/>
    <col min="13" max="13" width="8.140625" style="163" customWidth="1"/>
    <col min="14" max="14" width="8.42578125" style="163" customWidth="1"/>
    <col min="15" max="15" width="7.5703125" style="163" customWidth="1"/>
    <col min="16" max="16" width="8.42578125" style="163" customWidth="1"/>
    <col min="17" max="17" width="18" style="163" customWidth="1"/>
    <col min="18" max="18" width="17.42578125" style="163" customWidth="1"/>
    <col min="19" max="19" width="16.140625" style="163" customWidth="1"/>
    <col min="20" max="20" width="17" style="163" customWidth="1"/>
    <col min="21" max="21" width="40" style="155" customWidth="1"/>
    <col min="22" max="22" width="9.42578125" style="163" hidden="1" customWidth="1"/>
    <col min="23" max="23" width="10.140625" style="163" hidden="1" customWidth="1"/>
    <col min="24" max="24" width="11.85546875" style="163" customWidth="1"/>
    <col min="25" max="25" width="8.7109375" style="155" customWidth="1"/>
    <col min="26" max="26" width="11.140625" style="163" customWidth="1"/>
    <col min="27" max="27" width="13.28515625" style="155" hidden="1" customWidth="1"/>
    <col min="28" max="28" width="9.7109375" style="155" customWidth="1"/>
    <col min="29" max="29" width="14.42578125" style="155" customWidth="1"/>
    <col min="30" max="30" width="16" style="163" customWidth="1"/>
    <col min="31" max="31" width="16.42578125" style="223" customWidth="1"/>
    <col min="32" max="32" width="16.140625" style="155" hidden="1" customWidth="1"/>
    <col min="33" max="33" width="16" style="155" hidden="1" customWidth="1"/>
    <col min="34" max="36" width="0" style="155" hidden="1" customWidth="1"/>
    <col min="37" max="37" width="18.140625" style="2" customWidth="1"/>
    <col min="38" max="16384" width="9" style="2"/>
  </cols>
  <sheetData>
    <row r="1" spans="1:37" ht="32.25" customHeight="1">
      <c r="A1" s="226" t="s">
        <v>687</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row>
    <row r="2" spans="1:37" ht="32.25" customHeight="1">
      <c r="A2" s="226"/>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row>
    <row r="3" spans="1:37" ht="21.75" customHeight="1">
      <c r="A3" s="227" t="s">
        <v>4</v>
      </c>
      <c r="B3" s="227" t="s">
        <v>613</v>
      </c>
      <c r="C3" s="227" t="s">
        <v>377</v>
      </c>
      <c r="D3" s="227"/>
      <c r="E3" s="227"/>
      <c r="F3" s="227"/>
      <c r="G3" s="227"/>
      <c r="H3" s="227"/>
      <c r="I3" s="227"/>
      <c r="J3" s="227"/>
      <c r="K3" s="227"/>
      <c r="L3" s="157"/>
      <c r="M3" s="227" t="s">
        <v>378</v>
      </c>
      <c r="N3" s="228" t="s">
        <v>379</v>
      </c>
      <c r="O3" s="228" t="s">
        <v>20</v>
      </c>
      <c r="P3" s="227" t="s">
        <v>380</v>
      </c>
      <c r="Q3" s="227"/>
      <c r="R3" s="227"/>
      <c r="S3" s="227"/>
      <c r="T3" s="227"/>
      <c r="U3" s="227" t="s">
        <v>381</v>
      </c>
      <c r="V3" s="227"/>
      <c r="W3" s="227"/>
      <c r="X3" s="227"/>
      <c r="Y3" s="227"/>
      <c r="Z3" s="227"/>
      <c r="AA3" s="227"/>
      <c r="AB3" s="227"/>
      <c r="AC3" s="227"/>
      <c r="AD3" s="227"/>
      <c r="AE3" s="227" t="s">
        <v>382</v>
      </c>
      <c r="AK3" s="234" t="s">
        <v>652</v>
      </c>
    </row>
    <row r="4" spans="1:37" ht="28.5" customHeight="1">
      <c r="A4" s="227"/>
      <c r="B4" s="227"/>
      <c r="C4" s="227" t="s">
        <v>383</v>
      </c>
      <c r="D4" s="227"/>
      <c r="E4" s="227"/>
      <c r="F4" s="227"/>
      <c r="G4" s="227" t="s">
        <v>384</v>
      </c>
      <c r="H4" s="227"/>
      <c r="I4" s="227"/>
      <c r="J4" s="227"/>
      <c r="K4" s="227"/>
      <c r="L4" s="157"/>
      <c r="M4" s="227"/>
      <c r="N4" s="228"/>
      <c r="O4" s="228"/>
      <c r="P4" s="227"/>
      <c r="Q4" s="227"/>
      <c r="R4" s="227"/>
      <c r="S4" s="227"/>
      <c r="T4" s="227"/>
      <c r="U4" s="227"/>
      <c r="V4" s="227"/>
      <c r="W4" s="227"/>
      <c r="X4" s="227"/>
      <c r="Y4" s="227"/>
      <c r="Z4" s="227"/>
      <c r="AA4" s="227"/>
      <c r="AB4" s="227"/>
      <c r="AC4" s="227"/>
      <c r="AD4" s="227"/>
      <c r="AE4" s="227"/>
      <c r="AK4" s="234"/>
    </row>
    <row r="5" spans="1:37" ht="92.25" customHeight="1">
      <c r="A5" s="227"/>
      <c r="B5" s="227"/>
      <c r="C5" s="157" t="s">
        <v>385</v>
      </c>
      <c r="D5" s="157" t="s">
        <v>13</v>
      </c>
      <c r="E5" s="157" t="s">
        <v>14</v>
      </c>
      <c r="F5" s="157" t="s">
        <v>621</v>
      </c>
      <c r="G5" s="157" t="s">
        <v>16</v>
      </c>
      <c r="H5" s="158" t="s">
        <v>620</v>
      </c>
      <c r="I5" s="159" t="s">
        <v>619</v>
      </c>
      <c r="J5" s="158" t="s">
        <v>386</v>
      </c>
      <c r="K5" s="158" t="s">
        <v>618</v>
      </c>
      <c r="L5" s="157" t="s">
        <v>19</v>
      </c>
      <c r="M5" s="227"/>
      <c r="N5" s="228"/>
      <c r="O5" s="228"/>
      <c r="P5" s="158" t="s">
        <v>387</v>
      </c>
      <c r="Q5" s="158" t="s">
        <v>388</v>
      </c>
      <c r="R5" s="158" t="s">
        <v>389</v>
      </c>
      <c r="S5" s="158" t="s">
        <v>390</v>
      </c>
      <c r="T5" s="158" t="s">
        <v>391</v>
      </c>
      <c r="U5" s="157" t="s">
        <v>21</v>
      </c>
      <c r="V5" s="157" t="s">
        <v>406</v>
      </c>
      <c r="W5" s="157" t="s">
        <v>557</v>
      </c>
      <c r="X5" s="157" t="s">
        <v>22</v>
      </c>
      <c r="Y5" s="158" t="s">
        <v>23</v>
      </c>
      <c r="Z5" s="158" t="s">
        <v>5</v>
      </c>
      <c r="AA5" s="157" t="s">
        <v>24</v>
      </c>
      <c r="AB5" s="157" t="s">
        <v>25</v>
      </c>
      <c r="AC5" s="158" t="s">
        <v>392</v>
      </c>
      <c r="AD5" s="158" t="s">
        <v>393</v>
      </c>
      <c r="AE5" s="227"/>
    </row>
    <row r="6" spans="1:37" ht="15.75" hidden="1">
      <c r="A6" s="157"/>
      <c r="B6" s="160"/>
      <c r="C6" s="157"/>
      <c r="D6" s="157"/>
      <c r="E6" s="157"/>
      <c r="F6" s="157"/>
      <c r="G6" s="157"/>
      <c r="H6" s="158"/>
      <c r="I6" s="159"/>
      <c r="J6" s="161"/>
      <c r="K6" s="161"/>
      <c r="L6" s="157"/>
      <c r="M6" s="157"/>
      <c r="N6" s="158"/>
      <c r="O6" s="158"/>
      <c r="P6" s="158">
        <v>80000</v>
      </c>
      <c r="Q6" s="158"/>
      <c r="R6" s="158">
        <f>P6*3</f>
        <v>240000</v>
      </c>
      <c r="S6" s="158">
        <f>17000*30</f>
        <v>510000</v>
      </c>
      <c r="T6" s="158"/>
      <c r="U6" s="162"/>
      <c r="V6" s="157"/>
      <c r="W6" s="157"/>
      <c r="X6" s="157"/>
      <c r="Y6" s="158"/>
      <c r="Z6" s="158"/>
      <c r="AA6" s="157"/>
      <c r="AB6" s="157"/>
      <c r="AC6" s="158"/>
      <c r="AD6" s="158"/>
      <c r="AE6" s="157"/>
    </row>
    <row r="7" spans="1:37" s="22" customFormat="1" ht="15.75">
      <c r="A7" s="157">
        <v>1</v>
      </c>
      <c r="B7" s="157">
        <v>2</v>
      </c>
      <c r="C7" s="157"/>
      <c r="D7" s="157">
        <v>3</v>
      </c>
      <c r="E7" s="157">
        <v>4</v>
      </c>
      <c r="F7" s="157">
        <v>5</v>
      </c>
      <c r="G7" s="157">
        <v>6</v>
      </c>
      <c r="H7" s="158">
        <v>7</v>
      </c>
      <c r="I7" s="158">
        <v>8</v>
      </c>
      <c r="J7" s="161">
        <v>9</v>
      </c>
      <c r="K7" s="161">
        <v>10</v>
      </c>
      <c r="L7" s="157"/>
      <c r="M7" s="157">
        <v>11</v>
      </c>
      <c r="N7" s="158">
        <v>12</v>
      </c>
      <c r="O7" s="158">
        <v>13</v>
      </c>
      <c r="P7" s="158">
        <v>14</v>
      </c>
      <c r="Q7" s="158">
        <v>15</v>
      </c>
      <c r="R7" s="158">
        <v>16</v>
      </c>
      <c r="S7" s="158">
        <v>17</v>
      </c>
      <c r="T7" s="158">
        <v>18</v>
      </c>
      <c r="U7" s="157">
        <v>19</v>
      </c>
      <c r="V7" s="157"/>
      <c r="W7" s="157"/>
      <c r="X7" s="157">
        <v>20</v>
      </c>
      <c r="Y7" s="158">
        <v>21</v>
      </c>
      <c r="Z7" s="158">
        <v>22</v>
      </c>
      <c r="AA7" s="157">
        <v>23</v>
      </c>
      <c r="AB7" s="157">
        <v>24</v>
      </c>
      <c r="AC7" s="158">
        <v>25</v>
      </c>
      <c r="AD7" s="158">
        <v>26</v>
      </c>
      <c r="AE7" s="157" t="s">
        <v>394</v>
      </c>
      <c r="AF7" s="163"/>
      <c r="AG7" s="163"/>
      <c r="AH7" s="163"/>
      <c r="AI7" s="163"/>
      <c r="AJ7" s="163"/>
    </row>
    <row r="8" spans="1:37" s="14" customFormat="1" ht="25.5" customHeight="1">
      <c r="A8" s="157"/>
      <c r="B8" s="160" t="s">
        <v>612</v>
      </c>
      <c r="C8" s="160"/>
      <c r="D8" s="160"/>
      <c r="E8" s="160"/>
      <c r="F8" s="157"/>
      <c r="G8" s="157"/>
      <c r="H8" s="157"/>
      <c r="I8" s="157"/>
      <c r="J8" s="164"/>
      <c r="K8" s="164"/>
      <c r="L8" s="157"/>
      <c r="M8" s="157"/>
      <c r="N8" s="157"/>
      <c r="O8" s="157"/>
      <c r="P8" s="157"/>
      <c r="Q8" s="157"/>
      <c r="R8" s="157"/>
      <c r="S8" s="157"/>
      <c r="T8" s="157"/>
      <c r="U8" s="160"/>
      <c r="V8" s="157"/>
      <c r="W8" s="157"/>
      <c r="X8" s="157"/>
      <c r="Y8" s="160"/>
      <c r="Z8" s="157"/>
      <c r="AA8" s="160"/>
      <c r="AB8" s="160"/>
      <c r="AC8" s="160"/>
      <c r="AD8" s="157"/>
      <c r="AE8" s="157"/>
      <c r="AF8" s="160"/>
      <c r="AG8" s="160"/>
      <c r="AH8" s="160"/>
      <c r="AI8" s="160"/>
      <c r="AJ8" s="160"/>
    </row>
    <row r="9" spans="1:37" s="24" customFormat="1" ht="35.1" customHeight="1">
      <c r="A9" s="165">
        <v>1</v>
      </c>
      <c r="B9" s="166" t="s">
        <v>581</v>
      </c>
      <c r="C9" s="167"/>
      <c r="D9" s="168">
        <v>64</v>
      </c>
      <c r="E9" s="168">
        <v>384</v>
      </c>
      <c r="F9" s="168">
        <v>217.6</v>
      </c>
      <c r="G9" s="168" t="s">
        <v>397</v>
      </c>
      <c r="H9" s="168">
        <v>216</v>
      </c>
      <c r="I9" s="168">
        <f>F9-H9</f>
        <v>1.5999999999999943</v>
      </c>
      <c r="J9" s="169">
        <v>216</v>
      </c>
      <c r="K9" s="170">
        <v>756</v>
      </c>
      <c r="L9" s="170"/>
      <c r="M9" s="169">
        <f>J9/K9*100</f>
        <v>28.571428571428569</v>
      </c>
      <c r="N9" s="171">
        <f>IF(M9&lt;10,2,IF(M9&lt;20,3,IF(M9&lt;30,5,IF(M9&gt;=70,12,IF(M9&gt;=30,6)))))</f>
        <v>5</v>
      </c>
      <c r="O9" s="171">
        <v>5</v>
      </c>
      <c r="P9" s="172">
        <f>$P$6</f>
        <v>80000</v>
      </c>
      <c r="Q9" s="172">
        <f>H9*P9</f>
        <v>17280000</v>
      </c>
      <c r="R9" s="172">
        <f>Q9*3</f>
        <v>51840000</v>
      </c>
      <c r="S9" s="172">
        <f>N9*O9*$S$6</f>
        <v>12750000</v>
      </c>
      <c r="T9" s="172">
        <f>S9+R9+Q9</f>
        <v>81870000</v>
      </c>
      <c r="U9" s="173" t="s">
        <v>591</v>
      </c>
      <c r="V9" s="165"/>
      <c r="W9" s="165"/>
      <c r="X9" s="174" t="s">
        <v>0</v>
      </c>
      <c r="Y9" s="168">
        <v>216</v>
      </c>
      <c r="Z9" s="171">
        <v>97000</v>
      </c>
      <c r="AA9" s="167"/>
      <c r="AB9" s="175">
        <v>1</v>
      </c>
      <c r="AC9" s="176">
        <f>Y9*Z9*AB9</f>
        <v>20952000</v>
      </c>
      <c r="AD9" s="171">
        <f>AC9</f>
        <v>20952000</v>
      </c>
      <c r="AE9" s="177">
        <f>AD9+T9</f>
        <v>102822000</v>
      </c>
      <c r="AF9" s="167"/>
      <c r="AG9" s="178"/>
      <c r="AH9" s="178"/>
      <c r="AI9" s="178"/>
      <c r="AJ9" s="178"/>
    </row>
    <row r="10" spans="1:37" s="24" customFormat="1" ht="30" customHeight="1">
      <c r="A10" s="168">
        <v>2</v>
      </c>
      <c r="B10" s="166" t="s">
        <v>582</v>
      </c>
      <c r="C10" s="167"/>
      <c r="D10" s="168">
        <v>64</v>
      </c>
      <c r="E10" s="168">
        <v>379</v>
      </c>
      <c r="F10" s="168">
        <v>216.1</v>
      </c>
      <c r="G10" s="168" t="s">
        <v>397</v>
      </c>
      <c r="H10" s="168">
        <v>216</v>
      </c>
      <c r="I10" s="168">
        <f>F10-H10</f>
        <v>9.9999999999994316E-2</v>
      </c>
      <c r="J10" s="169">
        <v>216</v>
      </c>
      <c r="K10" s="170">
        <v>756</v>
      </c>
      <c r="L10" s="170"/>
      <c r="M10" s="169">
        <f>J10/K10*100</f>
        <v>28.571428571428569</v>
      </c>
      <c r="N10" s="171">
        <f>IF(M10&lt;10,2,IF(M10&lt;20,3,IF(M10&lt;30,5,IF(M10&gt;=70,12,IF(M10&gt;=30,6)))))</f>
        <v>5</v>
      </c>
      <c r="O10" s="171">
        <v>3</v>
      </c>
      <c r="P10" s="172">
        <f>$P$6</f>
        <v>80000</v>
      </c>
      <c r="Q10" s="172">
        <f>H10*P10</f>
        <v>17280000</v>
      </c>
      <c r="R10" s="172">
        <f>Q10*3</f>
        <v>51840000</v>
      </c>
      <c r="S10" s="172">
        <f>N10*O10*$S$6</f>
        <v>7650000</v>
      </c>
      <c r="T10" s="172">
        <f>S10+R10+Q10</f>
        <v>76770000</v>
      </c>
      <c r="U10" s="173" t="s">
        <v>591</v>
      </c>
      <c r="V10" s="165"/>
      <c r="W10" s="165"/>
      <c r="X10" s="174" t="s">
        <v>0</v>
      </c>
      <c r="Y10" s="168">
        <v>216</v>
      </c>
      <c r="Z10" s="171">
        <v>97000</v>
      </c>
      <c r="AA10" s="167"/>
      <c r="AB10" s="175">
        <v>1</v>
      </c>
      <c r="AC10" s="176">
        <f>Y10*Z10*AB10</f>
        <v>20952000</v>
      </c>
      <c r="AD10" s="171">
        <f>AC10</f>
        <v>20952000</v>
      </c>
      <c r="AE10" s="177">
        <f>AD10+T10</f>
        <v>97722000</v>
      </c>
      <c r="AF10" s="167"/>
      <c r="AG10" s="178"/>
      <c r="AH10" s="178"/>
      <c r="AI10" s="178"/>
      <c r="AJ10" s="178"/>
    </row>
    <row r="11" spans="1:37" s="15" customFormat="1" ht="27" customHeight="1">
      <c r="A11" s="230">
        <v>3</v>
      </c>
      <c r="B11" s="235" t="s">
        <v>583</v>
      </c>
      <c r="C11" s="179"/>
      <c r="D11" s="236">
        <v>64</v>
      </c>
      <c r="E11" s="236">
        <v>389</v>
      </c>
      <c r="F11" s="236">
        <v>1440.7</v>
      </c>
      <c r="G11" s="236" t="s">
        <v>28</v>
      </c>
      <c r="H11" s="230">
        <v>1440</v>
      </c>
      <c r="I11" s="230">
        <f>F11-H11</f>
        <v>0.70000000000004547</v>
      </c>
      <c r="J11" s="233">
        <v>1440</v>
      </c>
      <c r="K11" s="230">
        <v>1512</v>
      </c>
      <c r="L11" s="230"/>
      <c r="M11" s="233">
        <f>J11/K11*100</f>
        <v>95.238095238095227</v>
      </c>
      <c r="N11" s="229">
        <f>IF(M11&lt;10,2,IF(M11&lt;20,3,IF(M11&lt;30,5,IF(M11&gt;=70,12,IF(M11&gt;=30,6)))))</f>
        <v>12</v>
      </c>
      <c r="O11" s="229">
        <v>7</v>
      </c>
      <c r="P11" s="229">
        <f>$P$6</f>
        <v>80000</v>
      </c>
      <c r="Q11" s="229">
        <f>J11*P11</f>
        <v>115200000</v>
      </c>
      <c r="R11" s="229">
        <f>Q11*3</f>
        <v>345600000</v>
      </c>
      <c r="S11" s="229">
        <f>N11*O11*$S$6</f>
        <v>42840000</v>
      </c>
      <c r="T11" s="229">
        <f>S11+R11+Q11</f>
        <v>503640000</v>
      </c>
      <c r="U11" s="173" t="s">
        <v>592</v>
      </c>
      <c r="V11" s="164"/>
      <c r="W11" s="164"/>
      <c r="X11" s="174" t="s">
        <v>0</v>
      </c>
      <c r="Y11" s="172">
        <v>650</v>
      </c>
      <c r="Z11" s="172">
        <f>'[1]bang gia'!$D$40</f>
        <v>180000</v>
      </c>
      <c r="AA11" s="179"/>
      <c r="AB11" s="180">
        <v>1</v>
      </c>
      <c r="AC11" s="161">
        <f>Y11*Z11*AB11</f>
        <v>117000000</v>
      </c>
      <c r="AD11" s="229">
        <f>SUM(AC11:AC24)</f>
        <v>260650000</v>
      </c>
      <c r="AE11" s="231">
        <f>AD11+T11</f>
        <v>764290000</v>
      </c>
      <c r="AF11" s="181">
        <v>1440</v>
      </c>
      <c r="AG11" s="181"/>
      <c r="AH11" s="181"/>
      <c r="AI11" s="181"/>
      <c r="AJ11" s="181"/>
    </row>
    <row r="12" spans="1:37" s="15" customFormat="1" ht="30.95" customHeight="1">
      <c r="A12" s="230"/>
      <c r="B12" s="235"/>
      <c r="C12" s="179"/>
      <c r="D12" s="236"/>
      <c r="E12" s="236"/>
      <c r="F12" s="236"/>
      <c r="G12" s="236"/>
      <c r="H12" s="230"/>
      <c r="I12" s="230"/>
      <c r="J12" s="233"/>
      <c r="K12" s="230"/>
      <c r="L12" s="230"/>
      <c r="M12" s="233"/>
      <c r="N12" s="229"/>
      <c r="O12" s="229"/>
      <c r="P12" s="229"/>
      <c r="Q12" s="229"/>
      <c r="R12" s="229"/>
      <c r="S12" s="229"/>
      <c r="T12" s="229"/>
      <c r="U12" s="182" t="s">
        <v>495</v>
      </c>
      <c r="V12" s="174">
        <v>25</v>
      </c>
      <c r="W12" s="183">
        <f>786/V12</f>
        <v>31.44</v>
      </c>
      <c r="X12" s="184" t="str">
        <f>'[1]bang gia'!$C$46</f>
        <v>đồng/cây</v>
      </c>
      <c r="Y12" s="172">
        <v>33</v>
      </c>
      <c r="Z12" s="172"/>
      <c r="AA12" s="179"/>
      <c r="AB12" s="184"/>
      <c r="AC12" s="161"/>
      <c r="AD12" s="230"/>
      <c r="AE12" s="232"/>
      <c r="AF12" s="185">
        <f>J11-Y11</f>
        <v>790</v>
      </c>
      <c r="AG12" s="181"/>
      <c r="AH12" s="181"/>
      <c r="AI12" s="181"/>
      <c r="AJ12" s="181"/>
    </row>
    <row r="13" spans="1:37" s="15" customFormat="1" ht="23.25" customHeight="1">
      <c r="A13" s="230"/>
      <c r="B13" s="235"/>
      <c r="C13" s="179"/>
      <c r="D13" s="236"/>
      <c r="E13" s="236"/>
      <c r="F13" s="236"/>
      <c r="G13" s="236"/>
      <c r="H13" s="230"/>
      <c r="I13" s="230"/>
      <c r="J13" s="233"/>
      <c r="K13" s="230"/>
      <c r="L13" s="230"/>
      <c r="M13" s="233"/>
      <c r="N13" s="229"/>
      <c r="O13" s="229"/>
      <c r="P13" s="229"/>
      <c r="Q13" s="229"/>
      <c r="R13" s="229"/>
      <c r="S13" s="229"/>
      <c r="T13" s="229"/>
      <c r="U13" s="186" t="s">
        <v>421</v>
      </c>
      <c r="V13" s="187"/>
      <c r="W13" s="187"/>
      <c r="X13" s="184" t="str">
        <f>'[1]bang gia'!$C$46</f>
        <v>đồng/cây</v>
      </c>
      <c r="Y13" s="172">
        <v>31</v>
      </c>
      <c r="Z13" s="172">
        <f>'[1]bang gia'!$D$46</f>
        <v>4500000</v>
      </c>
      <c r="AA13" s="179"/>
      <c r="AB13" s="180">
        <v>1</v>
      </c>
      <c r="AC13" s="161">
        <f>Y13*Z13*AB13</f>
        <v>139500000</v>
      </c>
      <c r="AD13" s="230"/>
      <c r="AE13" s="232"/>
      <c r="AF13" s="181">
        <f>AF11-AF12</f>
        <v>650</v>
      </c>
      <c r="AG13" s="181"/>
      <c r="AH13" s="181"/>
      <c r="AI13" s="181"/>
      <c r="AJ13" s="181"/>
    </row>
    <row r="14" spans="1:37" s="15" customFormat="1" ht="23.25" customHeight="1">
      <c r="A14" s="230"/>
      <c r="B14" s="235"/>
      <c r="C14" s="179"/>
      <c r="D14" s="236"/>
      <c r="E14" s="236"/>
      <c r="F14" s="236"/>
      <c r="G14" s="236"/>
      <c r="H14" s="230"/>
      <c r="I14" s="230"/>
      <c r="J14" s="233"/>
      <c r="K14" s="230"/>
      <c r="L14" s="230"/>
      <c r="M14" s="233"/>
      <c r="N14" s="229"/>
      <c r="O14" s="229"/>
      <c r="P14" s="229"/>
      <c r="Q14" s="229"/>
      <c r="R14" s="229"/>
      <c r="S14" s="229"/>
      <c r="T14" s="229"/>
      <c r="U14" s="186" t="s">
        <v>423</v>
      </c>
      <c r="V14" s="187"/>
      <c r="W14" s="188">
        <f>(Y14+Y17)*0.3</f>
        <v>0.89999999999999991</v>
      </c>
      <c r="X14" s="184" t="str">
        <f>'[1]bang gia'!$C$46</f>
        <v>đồng/cây</v>
      </c>
      <c r="Y14" s="172">
        <v>1</v>
      </c>
      <c r="Z14" s="172">
        <f>'[1]bang gia'!$D$46</f>
        <v>4500000</v>
      </c>
      <c r="AA14" s="179"/>
      <c r="AB14" s="180">
        <v>0.3</v>
      </c>
      <c r="AC14" s="161">
        <f>Y14*Z14*AB14</f>
        <v>1350000</v>
      </c>
      <c r="AD14" s="230"/>
      <c r="AE14" s="232"/>
      <c r="AF14" s="155">
        <v>4.5</v>
      </c>
      <c r="AG14" s="181"/>
      <c r="AH14" s="181"/>
      <c r="AI14" s="181"/>
      <c r="AJ14" s="181"/>
    </row>
    <row r="15" spans="1:37" s="15" customFormat="1" ht="23.25" customHeight="1">
      <c r="A15" s="230"/>
      <c r="B15" s="235"/>
      <c r="C15" s="179"/>
      <c r="D15" s="236"/>
      <c r="E15" s="236"/>
      <c r="F15" s="236"/>
      <c r="G15" s="236"/>
      <c r="H15" s="230"/>
      <c r="I15" s="230"/>
      <c r="J15" s="233"/>
      <c r="K15" s="230"/>
      <c r="L15" s="230"/>
      <c r="M15" s="233"/>
      <c r="N15" s="229"/>
      <c r="O15" s="229"/>
      <c r="P15" s="229"/>
      <c r="Q15" s="229"/>
      <c r="R15" s="229"/>
      <c r="S15" s="229"/>
      <c r="T15" s="229"/>
      <c r="U15" s="186" t="s">
        <v>424</v>
      </c>
      <c r="V15" s="187"/>
      <c r="W15" s="188"/>
      <c r="X15" s="184" t="str">
        <f>'[1]bang gia'!$C$46</f>
        <v>đồng/cây</v>
      </c>
      <c r="Y15" s="172">
        <v>1</v>
      </c>
      <c r="Z15" s="172">
        <f>'[1]bang gia'!$D$46</f>
        <v>4500000</v>
      </c>
      <c r="AA15" s="179"/>
      <c r="AB15" s="180">
        <v>0</v>
      </c>
      <c r="AC15" s="161">
        <f>Y15*Z15*AB15</f>
        <v>0</v>
      </c>
      <c r="AD15" s="230"/>
      <c r="AE15" s="232"/>
      <c r="AF15" s="155"/>
      <c r="AG15" s="181"/>
      <c r="AH15" s="181"/>
      <c r="AI15" s="181"/>
      <c r="AJ15" s="181"/>
    </row>
    <row r="16" spans="1:37" s="15" customFormat="1" ht="30" customHeight="1">
      <c r="A16" s="230"/>
      <c r="B16" s="235"/>
      <c r="C16" s="179"/>
      <c r="D16" s="236"/>
      <c r="E16" s="236"/>
      <c r="F16" s="236"/>
      <c r="G16" s="236"/>
      <c r="H16" s="230"/>
      <c r="I16" s="230"/>
      <c r="J16" s="233"/>
      <c r="K16" s="230"/>
      <c r="L16" s="230"/>
      <c r="M16" s="233"/>
      <c r="N16" s="229"/>
      <c r="O16" s="229"/>
      <c r="P16" s="229"/>
      <c r="Q16" s="229"/>
      <c r="R16" s="229"/>
      <c r="S16" s="229"/>
      <c r="T16" s="229"/>
      <c r="U16" s="182" t="s">
        <v>640</v>
      </c>
      <c r="V16" s="174"/>
      <c r="W16" s="174"/>
      <c r="X16" s="184" t="str">
        <f>'[1]bang gia'!$C$46</f>
        <v>đồng/cây</v>
      </c>
      <c r="Y16" s="161">
        <v>2</v>
      </c>
      <c r="Z16" s="183"/>
      <c r="AA16" s="179"/>
      <c r="AB16" s="184"/>
      <c r="AC16" s="161"/>
      <c r="AD16" s="230"/>
      <c r="AE16" s="232"/>
      <c r="AF16" s="189"/>
      <c r="AG16" s="181"/>
      <c r="AH16" s="181"/>
      <c r="AI16" s="181"/>
      <c r="AJ16" s="181"/>
    </row>
    <row r="17" spans="1:36" s="15" customFormat="1" ht="23.25" customHeight="1">
      <c r="A17" s="230"/>
      <c r="B17" s="235"/>
      <c r="C17" s="179"/>
      <c r="D17" s="236"/>
      <c r="E17" s="236"/>
      <c r="F17" s="236"/>
      <c r="G17" s="236"/>
      <c r="H17" s="230"/>
      <c r="I17" s="230"/>
      <c r="J17" s="233"/>
      <c r="K17" s="230"/>
      <c r="L17" s="230"/>
      <c r="M17" s="233"/>
      <c r="N17" s="229"/>
      <c r="O17" s="229"/>
      <c r="P17" s="229"/>
      <c r="Q17" s="229"/>
      <c r="R17" s="229"/>
      <c r="S17" s="229"/>
      <c r="T17" s="229"/>
      <c r="U17" s="186" t="s">
        <v>424</v>
      </c>
      <c r="V17" s="187"/>
      <c r="W17" s="187"/>
      <c r="X17" s="184" t="str">
        <f>'[1]bang gia'!$C$46</f>
        <v>đồng/cây</v>
      </c>
      <c r="Y17" s="161">
        <v>2</v>
      </c>
      <c r="Z17" s="183">
        <v>3750000</v>
      </c>
      <c r="AA17" s="179"/>
      <c r="AB17" s="180">
        <v>0</v>
      </c>
      <c r="AC17" s="161">
        <f>Y17*Z17*AB17</f>
        <v>0</v>
      </c>
      <c r="AD17" s="230"/>
      <c r="AE17" s="232"/>
      <c r="AF17" s="155" t="s">
        <v>611</v>
      </c>
      <c r="AG17" s="181"/>
      <c r="AH17" s="181"/>
      <c r="AI17" s="181"/>
      <c r="AJ17" s="181"/>
    </row>
    <row r="18" spans="1:36" s="15" customFormat="1" ht="36" customHeight="1">
      <c r="A18" s="230"/>
      <c r="B18" s="235"/>
      <c r="C18" s="179"/>
      <c r="D18" s="236"/>
      <c r="E18" s="236"/>
      <c r="F18" s="236"/>
      <c r="G18" s="236"/>
      <c r="H18" s="230"/>
      <c r="I18" s="230"/>
      <c r="J18" s="233"/>
      <c r="K18" s="230"/>
      <c r="L18" s="230"/>
      <c r="M18" s="233"/>
      <c r="N18" s="229"/>
      <c r="O18" s="229"/>
      <c r="P18" s="229"/>
      <c r="Q18" s="229"/>
      <c r="R18" s="229"/>
      <c r="S18" s="229"/>
      <c r="T18" s="229"/>
      <c r="U18" s="182" t="s">
        <v>649</v>
      </c>
      <c r="V18" s="174"/>
      <c r="W18" s="174"/>
      <c r="X18" s="184" t="str">
        <f>'[1]bang gia'!$C$46</f>
        <v>đồng/cây</v>
      </c>
      <c r="Y18" s="172">
        <v>30</v>
      </c>
      <c r="Z18" s="183"/>
      <c r="AA18" s="179"/>
      <c r="AB18" s="184"/>
      <c r="AC18" s="184"/>
      <c r="AD18" s="230"/>
      <c r="AE18" s="232"/>
      <c r="AF18" s="181"/>
      <c r="AG18" s="181"/>
      <c r="AH18" s="181"/>
      <c r="AI18" s="181"/>
      <c r="AJ18" s="181"/>
    </row>
    <row r="19" spans="1:36" s="15" customFormat="1" ht="24.75" customHeight="1">
      <c r="A19" s="230"/>
      <c r="B19" s="235"/>
      <c r="C19" s="179"/>
      <c r="D19" s="236"/>
      <c r="E19" s="236"/>
      <c r="F19" s="236"/>
      <c r="G19" s="236"/>
      <c r="H19" s="230"/>
      <c r="I19" s="230"/>
      <c r="J19" s="233"/>
      <c r="K19" s="230"/>
      <c r="L19" s="230"/>
      <c r="M19" s="233"/>
      <c r="N19" s="229"/>
      <c r="O19" s="229"/>
      <c r="P19" s="229"/>
      <c r="Q19" s="229"/>
      <c r="R19" s="229"/>
      <c r="S19" s="229"/>
      <c r="T19" s="229"/>
      <c r="U19" s="186" t="s">
        <v>497</v>
      </c>
      <c r="V19" s="174">
        <v>6.25</v>
      </c>
      <c r="W19" s="183">
        <f>786/V19*0.3</f>
        <v>37.728000000000002</v>
      </c>
      <c r="X19" s="184" t="str">
        <f>'[1]bang gia'!$C$46</f>
        <v>đồng/cây</v>
      </c>
      <c r="Y19" s="172">
        <v>30</v>
      </c>
      <c r="Z19" s="183">
        <v>200000</v>
      </c>
      <c r="AA19" s="179"/>
      <c r="AB19" s="180">
        <v>0.3</v>
      </c>
      <c r="AC19" s="161">
        <f>Y19*Z19*AB19</f>
        <v>1800000</v>
      </c>
      <c r="AD19" s="230"/>
      <c r="AE19" s="232"/>
      <c r="AF19" s="181"/>
      <c r="AG19" s="181"/>
      <c r="AH19" s="181"/>
      <c r="AI19" s="181"/>
      <c r="AJ19" s="181"/>
    </row>
    <row r="20" spans="1:36" s="15" customFormat="1" ht="38.25" customHeight="1">
      <c r="A20" s="230"/>
      <c r="B20" s="235"/>
      <c r="C20" s="179"/>
      <c r="D20" s="236"/>
      <c r="E20" s="236"/>
      <c r="F20" s="236"/>
      <c r="G20" s="236"/>
      <c r="H20" s="230"/>
      <c r="I20" s="230"/>
      <c r="J20" s="233"/>
      <c r="K20" s="230"/>
      <c r="L20" s="230"/>
      <c r="M20" s="233"/>
      <c r="N20" s="229"/>
      <c r="O20" s="229"/>
      <c r="P20" s="229"/>
      <c r="Q20" s="229"/>
      <c r="R20" s="229"/>
      <c r="S20" s="229"/>
      <c r="T20" s="229"/>
      <c r="U20" s="190" t="s">
        <v>593</v>
      </c>
      <c r="V20" s="164"/>
      <c r="W20" s="164"/>
      <c r="X20" s="164" t="s">
        <v>8</v>
      </c>
      <c r="Y20" s="172">
        <f>3*1.5*1.5</f>
        <v>6.75</v>
      </c>
      <c r="Z20" s="164" t="s">
        <v>9</v>
      </c>
      <c r="AA20" s="179"/>
      <c r="AB20" s="180">
        <v>0</v>
      </c>
      <c r="AC20" s="184">
        <v>0</v>
      </c>
      <c r="AD20" s="230"/>
      <c r="AE20" s="232"/>
      <c r="AF20" s="181"/>
      <c r="AG20" s="181"/>
      <c r="AH20" s="181"/>
      <c r="AI20" s="181"/>
      <c r="AJ20" s="181"/>
    </row>
    <row r="21" spans="1:36" s="15" customFormat="1" ht="24" customHeight="1">
      <c r="A21" s="230"/>
      <c r="B21" s="235"/>
      <c r="C21" s="179"/>
      <c r="D21" s="236"/>
      <c r="E21" s="236"/>
      <c r="F21" s="236"/>
      <c r="G21" s="236"/>
      <c r="H21" s="230"/>
      <c r="I21" s="230"/>
      <c r="J21" s="233"/>
      <c r="K21" s="230"/>
      <c r="L21" s="230"/>
      <c r="M21" s="233"/>
      <c r="N21" s="229"/>
      <c r="O21" s="229"/>
      <c r="P21" s="229"/>
      <c r="Q21" s="229"/>
      <c r="R21" s="229"/>
      <c r="S21" s="229"/>
      <c r="T21" s="229"/>
      <c r="U21" s="182" t="s">
        <v>594</v>
      </c>
      <c r="V21" s="174"/>
      <c r="W21" s="174"/>
      <c r="X21" s="184" t="s">
        <v>6</v>
      </c>
      <c r="Y21" s="161">
        <f>164*5</f>
        <v>820</v>
      </c>
      <c r="Z21" s="172"/>
      <c r="AA21" s="179"/>
      <c r="AB21" s="180">
        <v>0</v>
      </c>
      <c r="AC21" s="184">
        <v>0</v>
      </c>
      <c r="AD21" s="230"/>
      <c r="AE21" s="232"/>
      <c r="AF21" s="181"/>
      <c r="AG21" s="181"/>
      <c r="AH21" s="181"/>
      <c r="AI21" s="181"/>
      <c r="AJ21" s="181"/>
    </row>
    <row r="22" spans="1:36" s="15" customFormat="1" ht="24" customHeight="1">
      <c r="A22" s="230"/>
      <c r="B22" s="235"/>
      <c r="C22" s="179"/>
      <c r="D22" s="236"/>
      <c r="E22" s="236"/>
      <c r="F22" s="236"/>
      <c r="G22" s="236"/>
      <c r="H22" s="230"/>
      <c r="I22" s="230"/>
      <c r="J22" s="233"/>
      <c r="K22" s="230"/>
      <c r="L22" s="230"/>
      <c r="M22" s="233"/>
      <c r="N22" s="229"/>
      <c r="O22" s="229"/>
      <c r="P22" s="229"/>
      <c r="Q22" s="229"/>
      <c r="R22" s="229"/>
      <c r="S22" s="229"/>
      <c r="T22" s="229"/>
      <c r="U22" s="173" t="s">
        <v>595</v>
      </c>
      <c r="V22" s="164"/>
      <c r="W22" s="164"/>
      <c r="X22" s="184" t="s">
        <v>688</v>
      </c>
      <c r="Y22" s="191">
        <v>1.28</v>
      </c>
      <c r="Z22" s="172"/>
      <c r="AA22" s="179"/>
      <c r="AB22" s="180">
        <v>0</v>
      </c>
      <c r="AC22" s="184">
        <v>0</v>
      </c>
      <c r="AD22" s="230"/>
      <c r="AE22" s="232"/>
      <c r="AF22" s="181"/>
      <c r="AG22" s="181"/>
      <c r="AH22" s="181"/>
      <c r="AI22" s="181"/>
      <c r="AJ22" s="181"/>
    </row>
    <row r="23" spans="1:36" s="15" customFormat="1" ht="24" customHeight="1">
      <c r="A23" s="230"/>
      <c r="B23" s="235"/>
      <c r="C23" s="179"/>
      <c r="D23" s="236"/>
      <c r="E23" s="236"/>
      <c r="F23" s="236"/>
      <c r="G23" s="236"/>
      <c r="H23" s="230"/>
      <c r="I23" s="230"/>
      <c r="J23" s="233"/>
      <c r="K23" s="230"/>
      <c r="L23" s="230"/>
      <c r="M23" s="233"/>
      <c r="N23" s="229"/>
      <c r="O23" s="229"/>
      <c r="P23" s="229"/>
      <c r="Q23" s="229"/>
      <c r="R23" s="229"/>
      <c r="S23" s="229"/>
      <c r="T23" s="229"/>
      <c r="U23" s="173" t="s">
        <v>596</v>
      </c>
      <c r="V23" s="164"/>
      <c r="W23" s="164"/>
      <c r="X23" s="174" t="s">
        <v>0</v>
      </c>
      <c r="Y23" s="192">
        <v>80</v>
      </c>
      <c r="Z23" s="172">
        <v>12500</v>
      </c>
      <c r="AA23" s="179"/>
      <c r="AB23" s="180">
        <v>1</v>
      </c>
      <c r="AC23" s="161">
        <f t="shared" ref="AC23:AC29" si="0">Y23*Z23*AB23</f>
        <v>1000000</v>
      </c>
      <c r="AD23" s="230"/>
      <c r="AE23" s="232"/>
      <c r="AF23" s="181"/>
      <c r="AG23" s="181"/>
      <c r="AH23" s="181"/>
      <c r="AI23" s="181"/>
      <c r="AJ23" s="181"/>
    </row>
    <row r="24" spans="1:36" s="15" customFormat="1" ht="24" customHeight="1">
      <c r="A24" s="230"/>
      <c r="B24" s="235"/>
      <c r="C24" s="179"/>
      <c r="D24" s="236"/>
      <c r="E24" s="236"/>
      <c r="F24" s="236"/>
      <c r="G24" s="236"/>
      <c r="H24" s="230"/>
      <c r="I24" s="230"/>
      <c r="J24" s="233"/>
      <c r="K24" s="230"/>
      <c r="L24" s="230"/>
      <c r="M24" s="233"/>
      <c r="N24" s="229"/>
      <c r="O24" s="229"/>
      <c r="P24" s="229"/>
      <c r="Q24" s="229"/>
      <c r="R24" s="229"/>
      <c r="S24" s="229"/>
      <c r="T24" s="229"/>
      <c r="U24" s="173" t="s">
        <v>597</v>
      </c>
      <c r="V24" s="164"/>
      <c r="W24" s="164"/>
      <c r="X24" s="164" t="s">
        <v>399</v>
      </c>
      <c r="Y24" s="161">
        <v>1</v>
      </c>
      <c r="Z24" s="172">
        <v>2400000</v>
      </c>
      <c r="AA24" s="179"/>
      <c r="AB24" s="180">
        <v>0</v>
      </c>
      <c r="AC24" s="161">
        <f t="shared" si="0"/>
        <v>0</v>
      </c>
      <c r="AD24" s="230"/>
      <c r="AE24" s="232"/>
      <c r="AF24" s="181"/>
      <c r="AG24" s="181"/>
      <c r="AH24" s="181"/>
      <c r="AI24" s="181"/>
      <c r="AJ24" s="181"/>
    </row>
    <row r="25" spans="1:36" s="25" customFormat="1" ht="33" customHeight="1">
      <c r="A25" s="230">
        <v>4</v>
      </c>
      <c r="B25" s="235" t="s">
        <v>614</v>
      </c>
      <c r="C25" s="179"/>
      <c r="D25" s="236">
        <v>65</v>
      </c>
      <c r="E25" s="237">
        <v>34</v>
      </c>
      <c r="F25" s="237">
        <v>360</v>
      </c>
      <c r="G25" s="236" t="s">
        <v>397</v>
      </c>
      <c r="H25" s="230">
        <v>360</v>
      </c>
      <c r="I25" s="230">
        <f>F25-H25</f>
        <v>0</v>
      </c>
      <c r="J25" s="233">
        <v>360</v>
      </c>
      <c r="K25" s="230">
        <v>360</v>
      </c>
      <c r="L25" s="230"/>
      <c r="M25" s="233">
        <f>J25/K25*100</f>
        <v>100</v>
      </c>
      <c r="N25" s="229">
        <f>IF(M25&lt;10,2,IF(M25&lt;20,3,IF(M25&lt;30,5,IF(M25&gt;=70,12,IF(M25&gt;=30,6)))))</f>
        <v>12</v>
      </c>
      <c r="O25" s="229">
        <v>4</v>
      </c>
      <c r="P25" s="229">
        <f>$P$6</f>
        <v>80000</v>
      </c>
      <c r="Q25" s="229">
        <f>K25*P25</f>
        <v>28800000</v>
      </c>
      <c r="R25" s="229">
        <f>Q25*3</f>
        <v>86400000</v>
      </c>
      <c r="S25" s="229">
        <f>N25*O25*$S$6</f>
        <v>24480000</v>
      </c>
      <c r="T25" s="229">
        <f>S25+R25+Q25</f>
        <v>139680000</v>
      </c>
      <c r="U25" s="173" t="s">
        <v>591</v>
      </c>
      <c r="V25" s="164"/>
      <c r="W25" s="164"/>
      <c r="X25" s="174" t="s">
        <v>0</v>
      </c>
      <c r="Y25" s="172">
        <v>360</v>
      </c>
      <c r="Z25" s="172">
        <v>97000</v>
      </c>
      <c r="AA25" s="179"/>
      <c r="AB25" s="180">
        <v>1</v>
      </c>
      <c r="AC25" s="161">
        <f t="shared" si="0"/>
        <v>34920000</v>
      </c>
      <c r="AD25" s="229">
        <f>AC25+AC26</f>
        <v>34920000</v>
      </c>
      <c r="AE25" s="231">
        <f>AD25+T25</f>
        <v>174600000</v>
      </c>
      <c r="AF25" s="181"/>
      <c r="AG25" s="181"/>
      <c r="AH25" s="181"/>
      <c r="AI25" s="181"/>
      <c r="AJ25" s="181"/>
    </row>
    <row r="26" spans="1:36" s="25" customFormat="1" ht="27" customHeight="1">
      <c r="A26" s="230"/>
      <c r="B26" s="235"/>
      <c r="C26" s="179"/>
      <c r="D26" s="236"/>
      <c r="E26" s="237"/>
      <c r="F26" s="237"/>
      <c r="G26" s="236"/>
      <c r="H26" s="230"/>
      <c r="I26" s="230"/>
      <c r="J26" s="233"/>
      <c r="K26" s="230"/>
      <c r="L26" s="230"/>
      <c r="M26" s="233"/>
      <c r="N26" s="229"/>
      <c r="O26" s="229"/>
      <c r="P26" s="229"/>
      <c r="Q26" s="229"/>
      <c r="R26" s="229"/>
      <c r="S26" s="229"/>
      <c r="T26" s="229"/>
      <c r="U26" s="173" t="s">
        <v>598</v>
      </c>
      <c r="V26" s="164"/>
      <c r="W26" s="164"/>
      <c r="X26" s="184" t="s">
        <v>688</v>
      </c>
      <c r="Y26" s="192">
        <v>19.95</v>
      </c>
      <c r="Z26" s="183">
        <v>0</v>
      </c>
      <c r="AA26" s="179"/>
      <c r="AB26" s="161">
        <v>0</v>
      </c>
      <c r="AC26" s="161">
        <f t="shared" si="0"/>
        <v>0</v>
      </c>
      <c r="AD26" s="230"/>
      <c r="AE26" s="232"/>
      <c r="AF26" s="181"/>
      <c r="AG26" s="181"/>
      <c r="AH26" s="181"/>
      <c r="AI26" s="181"/>
      <c r="AJ26" s="181"/>
    </row>
    <row r="27" spans="1:36" s="15" customFormat="1" ht="36" customHeight="1">
      <c r="A27" s="230">
        <v>5</v>
      </c>
      <c r="B27" s="235" t="s">
        <v>584</v>
      </c>
      <c r="C27" s="179"/>
      <c r="D27" s="236">
        <v>65</v>
      </c>
      <c r="E27" s="236">
        <v>33</v>
      </c>
      <c r="F27" s="236">
        <v>217.5</v>
      </c>
      <c r="G27" s="236" t="s">
        <v>397</v>
      </c>
      <c r="H27" s="230">
        <v>216</v>
      </c>
      <c r="I27" s="230">
        <f>F27-H27</f>
        <v>1.5</v>
      </c>
      <c r="J27" s="233">
        <v>216</v>
      </c>
      <c r="K27" s="230">
        <v>1080</v>
      </c>
      <c r="L27" s="230"/>
      <c r="M27" s="233">
        <f>J27/K27*100</f>
        <v>20</v>
      </c>
      <c r="N27" s="229">
        <f>IF(M27&lt;10,2,IF(M27&lt;20,3,IF(M27&lt;30,5,IF(M27&gt;=70,12,IF(M27&gt;=30,6)))))</f>
        <v>5</v>
      </c>
      <c r="O27" s="229">
        <v>4</v>
      </c>
      <c r="P27" s="229">
        <f>$P$6</f>
        <v>80000</v>
      </c>
      <c r="Q27" s="229">
        <f>J27*P27</f>
        <v>17280000</v>
      </c>
      <c r="R27" s="229">
        <f>Q27*3</f>
        <v>51840000</v>
      </c>
      <c r="S27" s="229">
        <f>N27*O27*$S$6</f>
        <v>10200000</v>
      </c>
      <c r="T27" s="229">
        <f>S27+R27+Q27</f>
        <v>79320000</v>
      </c>
      <c r="U27" s="173" t="s">
        <v>591</v>
      </c>
      <c r="V27" s="164"/>
      <c r="W27" s="164"/>
      <c r="X27" s="174" t="s">
        <v>0</v>
      </c>
      <c r="Y27" s="172">
        <v>216</v>
      </c>
      <c r="Z27" s="172">
        <v>97000</v>
      </c>
      <c r="AA27" s="179"/>
      <c r="AB27" s="180">
        <v>1</v>
      </c>
      <c r="AC27" s="161">
        <f t="shared" si="0"/>
        <v>20952000</v>
      </c>
      <c r="AD27" s="229">
        <f>AC27+AC28</f>
        <v>20952000</v>
      </c>
      <c r="AE27" s="231">
        <f>AD27+T27</f>
        <v>100272000</v>
      </c>
      <c r="AF27" s="181"/>
      <c r="AG27" s="181"/>
      <c r="AH27" s="181"/>
      <c r="AI27" s="181"/>
      <c r="AJ27" s="181"/>
    </row>
    <row r="28" spans="1:36" s="15" customFormat="1" ht="27" customHeight="1">
      <c r="A28" s="230"/>
      <c r="B28" s="235"/>
      <c r="C28" s="179"/>
      <c r="D28" s="236"/>
      <c r="E28" s="236"/>
      <c r="F28" s="236"/>
      <c r="G28" s="236"/>
      <c r="H28" s="230"/>
      <c r="I28" s="230"/>
      <c r="J28" s="233"/>
      <c r="K28" s="230"/>
      <c r="L28" s="230"/>
      <c r="M28" s="233"/>
      <c r="N28" s="229"/>
      <c r="O28" s="229"/>
      <c r="P28" s="229"/>
      <c r="Q28" s="229"/>
      <c r="R28" s="229"/>
      <c r="S28" s="229"/>
      <c r="T28" s="229"/>
      <c r="U28" s="173" t="s">
        <v>599</v>
      </c>
      <c r="V28" s="164"/>
      <c r="W28" s="164"/>
      <c r="X28" s="184" t="s">
        <v>688</v>
      </c>
      <c r="Y28" s="192">
        <v>3.6</v>
      </c>
      <c r="Z28" s="183">
        <v>0</v>
      </c>
      <c r="AA28" s="179"/>
      <c r="AB28" s="161">
        <v>0</v>
      </c>
      <c r="AC28" s="161">
        <f t="shared" si="0"/>
        <v>0</v>
      </c>
      <c r="AD28" s="230"/>
      <c r="AE28" s="232"/>
      <c r="AF28" s="181"/>
      <c r="AG28" s="181"/>
      <c r="AH28" s="181"/>
      <c r="AI28" s="181"/>
      <c r="AJ28" s="181"/>
    </row>
    <row r="29" spans="1:36" s="25" customFormat="1" ht="35.25" customHeight="1">
      <c r="A29" s="184">
        <v>6</v>
      </c>
      <c r="B29" s="173" t="s">
        <v>585</v>
      </c>
      <c r="C29" s="179"/>
      <c r="D29" s="193">
        <v>65</v>
      </c>
      <c r="E29" s="193">
        <v>12</v>
      </c>
      <c r="F29" s="193">
        <v>288</v>
      </c>
      <c r="G29" s="193" t="s">
        <v>397</v>
      </c>
      <c r="H29" s="184">
        <v>288</v>
      </c>
      <c r="I29" s="184">
        <f>F29-H29</f>
        <v>0</v>
      </c>
      <c r="J29" s="194">
        <v>288</v>
      </c>
      <c r="K29" s="184">
        <v>288</v>
      </c>
      <c r="L29" s="184"/>
      <c r="M29" s="194">
        <f>J29/K29*100</f>
        <v>100</v>
      </c>
      <c r="N29" s="172">
        <f>IF(M29&lt;10,2,IF(M29&lt;20,3,IF(M29&lt;30,5,IF(M29&gt;=70,12,IF(M29&gt;=30,6)))))</f>
        <v>12</v>
      </c>
      <c r="O29" s="172">
        <v>4</v>
      </c>
      <c r="P29" s="172">
        <f>$P$6</f>
        <v>80000</v>
      </c>
      <c r="Q29" s="172">
        <f>K29*P29</f>
        <v>23040000</v>
      </c>
      <c r="R29" s="172">
        <f>Q29*3</f>
        <v>69120000</v>
      </c>
      <c r="S29" s="172">
        <f>N29*O29*$S$6</f>
        <v>24480000</v>
      </c>
      <c r="T29" s="172">
        <f>S29+R29+Q29</f>
        <v>116640000</v>
      </c>
      <c r="U29" s="182" t="s">
        <v>623</v>
      </c>
      <c r="V29" s="174"/>
      <c r="W29" s="174"/>
      <c r="X29" s="174" t="s">
        <v>0</v>
      </c>
      <c r="Y29" s="172">
        <v>288</v>
      </c>
      <c r="Z29" s="183">
        <v>63000</v>
      </c>
      <c r="AA29" s="179"/>
      <c r="AB29" s="180">
        <v>1</v>
      </c>
      <c r="AC29" s="161">
        <f t="shared" si="0"/>
        <v>18144000</v>
      </c>
      <c r="AD29" s="172">
        <f>AC29</f>
        <v>18144000</v>
      </c>
      <c r="AE29" s="195">
        <f>AD29+T29</f>
        <v>134784000</v>
      </c>
      <c r="AF29" s="181"/>
      <c r="AG29" s="181"/>
      <c r="AH29" s="181"/>
      <c r="AI29" s="181"/>
      <c r="AJ29" s="181"/>
    </row>
    <row r="30" spans="1:36" s="25" customFormat="1" ht="34.5" customHeight="1">
      <c r="A30" s="230">
        <v>7</v>
      </c>
      <c r="B30" s="238" t="s">
        <v>586</v>
      </c>
      <c r="C30" s="179"/>
      <c r="D30" s="236">
        <v>64</v>
      </c>
      <c r="E30" s="236">
        <v>391</v>
      </c>
      <c r="F30" s="236">
        <v>252.1</v>
      </c>
      <c r="G30" s="236" t="s">
        <v>28</v>
      </c>
      <c r="H30" s="236">
        <v>252</v>
      </c>
      <c r="I30" s="236">
        <f>F30-H30</f>
        <v>9.9999999999994316E-2</v>
      </c>
      <c r="J30" s="239">
        <f>H30+H34</f>
        <v>612</v>
      </c>
      <c r="K30" s="230">
        <v>612</v>
      </c>
      <c r="L30" s="230"/>
      <c r="M30" s="230">
        <f>J30/K30*100</f>
        <v>100</v>
      </c>
      <c r="N30" s="230">
        <v>12</v>
      </c>
      <c r="O30" s="230">
        <v>7</v>
      </c>
      <c r="P30" s="229">
        <v>80000</v>
      </c>
      <c r="Q30" s="229">
        <f>P30*K30</f>
        <v>48960000</v>
      </c>
      <c r="R30" s="229">
        <f>Q30*3</f>
        <v>146880000</v>
      </c>
      <c r="S30" s="229">
        <f>N30*O30*S6</f>
        <v>42840000</v>
      </c>
      <c r="T30" s="229">
        <f>SUM(Q30:S40)</f>
        <v>238680000</v>
      </c>
      <c r="U30" s="182" t="s">
        <v>622</v>
      </c>
      <c r="V30" s="174">
        <v>25</v>
      </c>
      <c r="W30" s="174">
        <f>H30/V30</f>
        <v>10.08</v>
      </c>
      <c r="X30" s="184" t="str">
        <f>'[2]bang gia'!$C$46</f>
        <v>đồng/cây</v>
      </c>
      <c r="Y30" s="172">
        <v>13</v>
      </c>
      <c r="Z30" s="172"/>
      <c r="AA30" s="179"/>
      <c r="AB30" s="164"/>
      <c r="AC30" s="161"/>
      <c r="AD30" s="229">
        <f>SUM(AC30:AC33)</f>
        <v>51750000</v>
      </c>
      <c r="AE30" s="231">
        <f>T30+AD30+AD34</f>
        <v>362430000</v>
      </c>
      <c r="AF30" s="240" t="s">
        <v>415</v>
      </c>
      <c r="AG30" s="181"/>
      <c r="AH30" s="181"/>
      <c r="AI30" s="181"/>
      <c r="AJ30" s="181"/>
    </row>
    <row r="31" spans="1:36" s="25" customFormat="1" ht="27" customHeight="1">
      <c r="A31" s="230"/>
      <c r="B31" s="238"/>
      <c r="C31" s="179"/>
      <c r="D31" s="236"/>
      <c r="E31" s="236"/>
      <c r="F31" s="236"/>
      <c r="G31" s="236"/>
      <c r="H31" s="236"/>
      <c r="I31" s="236"/>
      <c r="J31" s="239"/>
      <c r="K31" s="230"/>
      <c r="L31" s="230"/>
      <c r="M31" s="230"/>
      <c r="N31" s="230"/>
      <c r="O31" s="230"/>
      <c r="P31" s="229"/>
      <c r="Q31" s="229"/>
      <c r="R31" s="229"/>
      <c r="S31" s="229"/>
      <c r="T31" s="229"/>
      <c r="U31" s="186" t="s">
        <v>421</v>
      </c>
      <c r="V31" s="174"/>
      <c r="W31" s="174"/>
      <c r="X31" s="184" t="str">
        <f>'[2]bang gia'!$C$46</f>
        <v>đồng/cây</v>
      </c>
      <c r="Y31" s="172">
        <v>10</v>
      </c>
      <c r="Z31" s="172">
        <f>'[2]bang gia'!$D$46</f>
        <v>4500000</v>
      </c>
      <c r="AA31" s="179"/>
      <c r="AB31" s="197">
        <v>1</v>
      </c>
      <c r="AC31" s="161">
        <f>Y31*Z31*AB31</f>
        <v>45000000</v>
      </c>
      <c r="AD31" s="230"/>
      <c r="AE31" s="231"/>
      <c r="AF31" s="240"/>
      <c r="AG31" s="181"/>
      <c r="AH31" s="181"/>
      <c r="AI31" s="181"/>
      <c r="AJ31" s="181"/>
    </row>
    <row r="32" spans="1:36" s="25" customFormat="1" ht="27" customHeight="1">
      <c r="A32" s="230"/>
      <c r="B32" s="238"/>
      <c r="C32" s="179"/>
      <c r="D32" s="236"/>
      <c r="E32" s="236"/>
      <c r="F32" s="236"/>
      <c r="G32" s="236"/>
      <c r="H32" s="236"/>
      <c r="I32" s="236"/>
      <c r="J32" s="239"/>
      <c r="K32" s="230"/>
      <c r="L32" s="230"/>
      <c r="M32" s="230"/>
      <c r="N32" s="230"/>
      <c r="O32" s="230"/>
      <c r="P32" s="229"/>
      <c r="Q32" s="229"/>
      <c r="R32" s="229"/>
      <c r="S32" s="229"/>
      <c r="T32" s="229"/>
      <c r="U32" s="186" t="s">
        <v>423</v>
      </c>
      <c r="V32" s="174"/>
      <c r="W32" s="174">
        <f>0.3*W30</f>
        <v>3.024</v>
      </c>
      <c r="X32" s="184" t="str">
        <f>'[2]bang gia'!$C$46</f>
        <v>đồng/cây</v>
      </c>
      <c r="Y32" s="172">
        <v>3</v>
      </c>
      <c r="Z32" s="172">
        <f>'[2]bang gia'!$D$46</f>
        <v>4500000</v>
      </c>
      <c r="AA32" s="179"/>
      <c r="AB32" s="180">
        <v>0.5</v>
      </c>
      <c r="AC32" s="161">
        <f>Y32*Z32*AB32</f>
        <v>6750000</v>
      </c>
      <c r="AD32" s="230"/>
      <c r="AE32" s="231"/>
      <c r="AF32" s="181"/>
      <c r="AG32" s="181"/>
      <c r="AH32" s="181"/>
      <c r="AI32" s="181"/>
      <c r="AJ32" s="181"/>
    </row>
    <row r="33" spans="1:36" s="25" customFormat="1" ht="27" customHeight="1">
      <c r="A33" s="230"/>
      <c r="B33" s="238"/>
      <c r="C33" s="179"/>
      <c r="D33" s="236"/>
      <c r="E33" s="236"/>
      <c r="F33" s="236"/>
      <c r="G33" s="236"/>
      <c r="H33" s="236"/>
      <c r="I33" s="236"/>
      <c r="J33" s="239"/>
      <c r="K33" s="230"/>
      <c r="L33" s="230"/>
      <c r="M33" s="230"/>
      <c r="N33" s="230"/>
      <c r="O33" s="230"/>
      <c r="P33" s="229"/>
      <c r="Q33" s="229"/>
      <c r="R33" s="229"/>
      <c r="S33" s="229"/>
      <c r="T33" s="229"/>
      <c r="U33" s="173" t="s">
        <v>600</v>
      </c>
      <c r="V33" s="164"/>
      <c r="W33" s="164"/>
      <c r="X33" s="184" t="s">
        <v>688</v>
      </c>
      <c r="Y33" s="192">
        <v>0.3</v>
      </c>
      <c r="Z33" s="164"/>
      <c r="AA33" s="179"/>
      <c r="AB33" s="180">
        <v>0</v>
      </c>
      <c r="AC33" s="184">
        <f>Y33*Z33*AB33</f>
        <v>0</v>
      </c>
      <c r="AD33" s="230"/>
      <c r="AE33" s="231"/>
      <c r="AF33" s="181"/>
      <c r="AG33" s="181"/>
      <c r="AH33" s="181"/>
      <c r="AI33" s="181"/>
      <c r="AJ33" s="181"/>
    </row>
    <row r="34" spans="1:36" s="25" customFormat="1" ht="33.75" customHeight="1">
      <c r="A34" s="230"/>
      <c r="B34" s="238"/>
      <c r="C34" s="179"/>
      <c r="D34" s="236">
        <v>64</v>
      </c>
      <c r="E34" s="236">
        <v>345</v>
      </c>
      <c r="F34" s="236">
        <v>359.5</v>
      </c>
      <c r="G34" s="236" t="s">
        <v>28</v>
      </c>
      <c r="H34" s="230">
        <v>360</v>
      </c>
      <c r="I34" s="230">
        <f>F34-H34</f>
        <v>-0.5</v>
      </c>
      <c r="J34" s="239"/>
      <c r="K34" s="230"/>
      <c r="L34" s="230"/>
      <c r="M34" s="230"/>
      <c r="N34" s="230"/>
      <c r="O34" s="230"/>
      <c r="P34" s="229"/>
      <c r="Q34" s="229"/>
      <c r="R34" s="229"/>
      <c r="S34" s="229"/>
      <c r="T34" s="229"/>
      <c r="U34" s="182" t="s">
        <v>465</v>
      </c>
      <c r="V34" s="174">
        <v>25</v>
      </c>
      <c r="W34" s="174">
        <f>H34/V34</f>
        <v>14.4</v>
      </c>
      <c r="X34" s="184" t="str">
        <f>'[1]bang gia'!$C$46</f>
        <v>đồng/cây</v>
      </c>
      <c r="Y34" s="172">
        <v>20</v>
      </c>
      <c r="Z34" s="172"/>
      <c r="AA34" s="179"/>
      <c r="AB34" s="184"/>
      <c r="AC34" s="161"/>
      <c r="AD34" s="229">
        <f>SUM(AC34:AC40)</f>
        <v>72000000</v>
      </c>
      <c r="AE34" s="231"/>
      <c r="AF34" s="240" t="s">
        <v>415</v>
      </c>
      <c r="AG34" s="181"/>
      <c r="AH34" s="181"/>
      <c r="AI34" s="181"/>
      <c r="AJ34" s="181"/>
    </row>
    <row r="35" spans="1:36" s="25" customFormat="1" ht="22.5" customHeight="1">
      <c r="A35" s="230"/>
      <c r="B35" s="238"/>
      <c r="C35" s="179"/>
      <c r="D35" s="236"/>
      <c r="E35" s="236"/>
      <c r="F35" s="236"/>
      <c r="G35" s="236"/>
      <c r="H35" s="230"/>
      <c r="I35" s="230"/>
      <c r="J35" s="239"/>
      <c r="K35" s="230"/>
      <c r="L35" s="230"/>
      <c r="M35" s="230"/>
      <c r="N35" s="230"/>
      <c r="O35" s="230"/>
      <c r="P35" s="229"/>
      <c r="Q35" s="229"/>
      <c r="R35" s="229"/>
      <c r="S35" s="229"/>
      <c r="T35" s="229"/>
      <c r="U35" s="186" t="s">
        <v>421</v>
      </c>
      <c r="V35" s="174"/>
      <c r="W35" s="174"/>
      <c r="X35" s="184" t="str">
        <f>'[1]bang gia'!$C$46</f>
        <v>đồng/cây</v>
      </c>
      <c r="Y35" s="172">
        <v>14</v>
      </c>
      <c r="Z35" s="172">
        <f>'[1]bang gia'!$D$46</f>
        <v>4500000</v>
      </c>
      <c r="AA35" s="179"/>
      <c r="AB35" s="180">
        <v>1</v>
      </c>
      <c r="AC35" s="161">
        <f t="shared" ref="AC35:AC37" si="1">Y35*Z35*AB35</f>
        <v>63000000</v>
      </c>
      <c r="AD35" s="229"/>
      <c r="AE35" s="231"/>
      <c r="AF35" s="240"/>
      <c r="AG35" s="181"/>
      <c r="AH35" s="181"/>
      <c r="AI35" s="181"/>
      <c r="AJ35" s="181"/>
    </row>
    <row r="36" spans="1:36" s="25" customFormat="1" ht="22.5" customHeight="1">
      <c r="A36" s="230"/>
      <c r="B36" s="238"/>
      <c r="C36" s="179"/>
      <c r="D36" s="236"/>
      <c r="E36" s="236"/>
      <c r="F36" s="236"/>
      <c r="G36" s="236"/>
      <c r="H36" s="230"/>
      <c r="I36" s="230"/>
      <c r="J36" s="239"/>
      <c r="K36" s="230"/>
      <c r="L36" s="230"/>
      <c r="M36" s="230"/>
      <c r="N36" s="230"/>
      <c r="O36" s="230"/>
      <c r="P36" s="229"/>
      <c r="Q36" s="229"/>
      <c r="R36" s="229"/>
      <c r="S36" s="229"/>
      <c r="T36" s="229"/>
      <c r="U36" s="186" t="s">
        <v>423</v>
      </c>
      <c r="V36" s="174"/>
      <c r="W36" s="174">
        <f>W34*0.3</f>
        <v>4.32</v>
      </c>
      <c r="X36" s="184" t="str">
        <f>'[1]bang gia'!$C$46</f>
        <v>đồng/cây</v>
      </c>
      <c r="Y36" s="172">
        <v>4</v>
      </c>
      <c r="Z36" s="172">
        <f>'[1]bang gia'!$D$46</f>
        <v>4500000</v>
      </c>
      <c r="AA36" s="179"/>
      <c r="AB36" s="180">
        <v>0.5</v>
      </c>
      <c r="AC36" s="161">
        <f t="shared" si="1"/>
        <v>9000000</v>
      </c>
      <c r="AD36" s="229"/>
      <c r="AE36" s="231"/>
      <c r="AF36" s="181"/>
      <c r="AG36" s="181"/>
      <c r="AH36" s="181"/>
      <c r="AI36" s="181"/>
      <c r="AJ36" s="181"/>
    </row>
    <row r="37" spans="1:36" s="25" customFormat="1" ht="22.5" customHeight="1">
      <c r="A37" s="230"/>
      <c r="B37" s="238"/>
      <c r="C37" s="179"/>
      <c r="D37" s="236"/>
      <c r="E37" s="236"/>
      <c r="F37" s="236"/>
      <c r="G37" s="236"/>
      <c r="H37" s="230"/>
      <c r="I37" s="230"/>
      <c r="J37" s="239"/>
      <c r="K37" s="230"/>
      <c r="L37" s="230"/>
      <c r="M37" s="230"/>
      <c r="N37" s="230"/>
      <c r="O37" s="230"/>
      <c r="P37" s="229"/>
      <c r="Q37" s="229"/>
      <c r="R37" s="229"/>
      <c r="S37" s="229"/>
      <c r="T37" s="229"/>
      <c r="U37" s="186" t="s">
        <v>424</v>
      </c>
      <c r="V37" s="174"/>
      <c r="W37" s="174"/>
      <c r="X37" s="184" t="str">
        <f>'[1]bang gia'!$C$46</f>
        <v>đồng/cây</v>
      </c>
      <c r="Y37" s="172">
        <v>2</v>
      </c>
      <c r="Z37" s="172">
        <f>'[1]bang gia'!$D$46</f>
        <v>4500000</v>
      </c>
      <c r="AA37" s="179"/>
      <c r="AB37" s="180">
        <v>0</v>
      </c>
      <c r="AC37" s="161">
        <f t="shared" si="1"/>
        <v>0</v>
      </c>
      <c r="AD37" s="229"/>
      <c r="AE37" s="231"/>
      <c r="AF37" s="181"/>
      <c r="AG37" s="181"/>
      <c r="AH37" s="181"/>
      <c r="AI37" s="181"/>
      <c r="AJ37" s="181"/>
    </row>
    <row r="38" spans="1:36" s="25" customFormat="1" ht="33.75" customHeight="1">
      <c r="A38" s="230"/>
      <c r="B38" s="238"/>
      <c r="C38" s="179"/>
      <c r="D38" s="236"/>
      <c r="E38" s="236"/>
      <c r="F38" s="236"/>
      <c r="G38" s="236"/>
      <c r="H38" s="230"/>
      <c r="I38" s="230"/>
      <c r="J38" s="239"/>
      <c r="K38" s="230"/>
      <c r="L38" s="230"/>
      <c r="M38" s="230"/>
      <c r="N38" s="230"/>
      <c r="O38" s="230"/>
      <c r="P38" s="229"/>
      <c r="Q38" s="229"/>
      <c r="R38" s="229"/>
      <c r="S38" s="229"/>
      <c r="T38" s="229"/>
      <c r="U38" s="190" t="s">
        <v>601</v>
      </c>
      <c r="V38" s="164"/>
      <c r="W38" s="164"/>
      <c r="X38" s="164" t="s">
        <v>6</v>
      </c>
      <c r="Y38" s="172">
        <f>144*1</f>
        <v>144</v>
      </c>
      <c r="Z38" s="164"/>
      <c r="AA38" s="179"/>
      <c r="AB38" s="180">
        <v>0</v>
      </c>
      <c r="AC38" s="184">
        <v>0</v>
      </c>
      <c r="AD38" s="230"/>
      <c r="AE38" s="231"/>
      <c r="AF38" s="181"/>
      <c r="AG38" s="181"/>
      <c r="AH38" s="181"/>
      <c r="AI38" s="181"/>
      <c r="AJ38" s="181"/>
    </row>
    <row r="39" spans="1:36" s="25" customFormat="1" ht="27" customHeight="1">
      <c r="A39" s="230"/>
      <c r="B39" s="238"/>
      <c r="C39" s="179"/>
      <c r="D39" s="236"/>
      <c r="E39" s="236"/>
      <c r="F39" s="236"/>
      <c r="G39" s="236"/>
      <c r="H39" s="230"/>
      <c r="I39" s="230"/>
      <c r="J39" s="239"/>
      <c r="K39" s="230"/>
      <c r="L39" s="230"/>
      <c r="M39" s="230"/>
      <c r="N39" s="230"/>
      <c r="O39" s="230"/>
      <c r="P39" s="229"/>
      <c r="Q39" s="229"/>
      <c r="R39" s="229"/>
      <c r="S39" s="229"/>
      <c r="T39" s="229"/>
      <c r="U39" s="173" t="s">
        <v>602</v>
      </c>
      <c r="V39" s="164"/>
      <c r="W39" s="164"/>
      <c r="X39" s="184" t="s">
        <v>688</v>
      </c>
      <c r="Y39" s="198">
        <v>1.2</v>
      </c>
      <c r="Z39" s="184"/>
      <c r="AA39" s="179"/>
      <c r="AB39" s="180">
        <v>0</v>
      </c>
      <c r="AC39" s="184">
        <v>0</v>
      </c>
      <c r="AD39" s="230"/>
      <c r="AE39" s="231"/>
      <c r="AF39" s="181"/>
      <c r="AG39" s="181"/>
      <c r="AH39" s="181"/>
      <c r="AI39" s="181"/>
      <c r="AJ39" s="181"/>
    </row>
    <row r="40" spans="1:36" s="25" customFormat="1" ht="27" customHeight="1">
      <c r="A40" s="230"/>
      <c r="B40" s="238"/>
      <c r="C40" s="179"/>
      <c r="D40" s="236"/>
      <c r="E40" s="236"/>
      <c r="F40" s="236"/>
      <c r="G40" s="236"/>
      <c r="H40" s="230"/>
      <c r="I40" s="230"/>
      <c r="J40" s="239"/>
      <c r="K40" s="230"/>
      <c r="L40" s="230"/>
      <c r="M40" s="230"/>
      <c r="N40" s="230"/>
      <c r="O40" s="230"/>
      <c r="P40" s="229"/>
      <c r="Q40" s="229"/>
      <c r="R40" s="229"/>
      <c r="S40" s="229"/>
      <c r="T40" s="229"/>
      <c r="U40" s="173" t="s">
        <v>603</v>
      </c>
      <c r="V40" s="164"/>
      <c r="W40" s="164"/>
      <c r="X40" s="164" t="s">
        <v>399</v>
      </c>
      <c r="Y40" s="161">
        <v>1</v>
      </c>
      <c r="Z40" s="172">
        <v>2400000</v>
      </c>
      <c r="AA40" s="179"/>
      <c r="AB40" s="180">
        <v>0</v>
      </c>
      <c r="AC40" s="184">
        <v>0</v>
      </c>
      <c r="AD40" s="230"/>
      <c r="AE40" s="231"/>
      <c r="AF40" s="181"/>
      <c r="AG40" s="181"/>
      <c r="AH40" s="181"/>
      <c r="AI40" s="181"/>
      <c r="AJ40" s="181"/>
    </row>
    <row r="41" spans="1:36" s="15" customFormat="1" ht="42.95" customHeight="1">
      <c r="A41" s="184">
        <v>8</v>
      </c>
      <c r="B41" s="173" t="s">
        <v>587</v>
      </c>
      <c r="C41" s="179"/>
      <c r="D41" s="193">
        <v>65</v>
      </c>
      <c r="E41" s="193">
        <v>10</v>
      </c>
      <c r="F41" s="193">
        <v>360</v>
      </c>
      <c r="G41" s="193" t="s">
        <v>397</v>
      </c>
      <c r="H41" s="199">
        <v>360</v>
      </c>
      <c r="I41" s="199">
        <f>F41-H41</f>
        <v>0</v>
      </c>
      <c r="J41" s="194">
        <v>360</v>
      </c>
      <c r="K41" s="199">
        <v>360</v>
      </c>
      <c r="L41" s="199"/>
      <c r="M41" s="194">
        <f>J41/K41*100</f>
        <v>100</v>
      </c>
      <c r="N41" s="172">
        <f>IF(M41&lt;10,2,IF(M41&lt;20,3,IF(M41&lt;30,5,IF(M41&gt;=70,12,IF(M41&gt;=30,6)))))</f>
        <v>12</v>
      </c>
      <c r="O41" s="172">
        <v>2</v>
      </c>
      <c r="P41" s="172">
        <f>$P$6</f>
        <v>80000</v>
      </c>
      <c r="Q41" s="172">
        <f>K41*P41</f>
        <v>28800000</v>
      </c>
      <c r="R41" s="172">
        <f>Q41*3</f>
        <v>86400000</v>
      </c>
      <c r="S41" s="172">
        <f>N41*O41*$S$6</f>
        <v>12240000</v>
      </c>
      <c r="T41" s="172">
        <f>S41+R41+Q41</f>
        <v>127440000</v>
      </c>
      <c r="U41" s="182" t="s">
        <v>604</v>
      </c>
      <c r="V41" s="174"/>
      <c r="W41" s="174"/>
      <c r="X41" s="174" t="s">
        <v>0</v>
      </c>
      <c r="Y41" s="172">
        <v>360</v>
      </c>
      <c r="Z41" s="183">
        <v>45000</v>
      </c>
      <c r="AA41" s="179"/>
      <c r="AB41" s="197">
        <v>1</v>
      </c>
      <c r="AC41" s="161">
        <f>Y41*Z41*AB41</f>
        <v>16200000</v>
      </c>
      <c r="AD41" s="172">
        <f>AC41</f>
        <v>16200000</v>
      </c>
      <c r="AE41" s="195">
        <f>AD41+T41</f>
        <v>143640000</v>
      </c>
      <c r="AF41" s="181"/>
      <c r="AG41" s="181"/>
      <c r="AH41" s="181"/>
      <c r="AI41" s="181"/>
      <c r="AJ41" s="181"/>
    </row>
    <row r="42" spans="1:36" s="15" customFormat="1" ht="34.5" customHeight="1">
      <c r="A42" s="230">
        <v>9</v>
      </c>
      <c r="B42" s="235" t="s">
        <v>588</v>
      </c>
      <c r="C42" s="179"/>
      <c r="D42" s="236">
        <v>64</v>
      </c>
      <c r="E42" s="236">
        <v>348</v>
      </c>
      <c r="F42" s="236">
        <v>269.89999999999998</v>
      </c>
      <c r="G42" s="236" t="s">
        <v>28</v>
      </c>
      <c r="H42" s="230">
        <v>270</v>
      </c>
      <c r="I42" s="230">
        <f>F42-H42</f>
        <v>-0.10000000000002274</v>
      </c>
      <c r="J42" s="233">
        <v>270</v>
      </c>
      <c r="K42" s="230">
        <v>756</v>
      </c>
      <c r="L42" s="230"/>
      <c r="M42" s="233">
        <f>J42/K42*100</f>
        <v>35.714285714285715</v>
      </c>
      <c r="N42" s="229">
        <f>IF(M42&lt;10,2,IF(M42&lt;20,3,IF(M42&lt;30,5,IF(M42&gt;=70,12,IF(M42&gt;=30,6)))))</f>
        <v>6</v>
      </c>
      <c r="O42" s="229">
        <v>3</v>
      </c>
      <c r="P42" s="229">
        <f>$P$6</f>
        <v>80000</v>
      </c>
      <c r="Q42" s="229">
        <f>J42*P42</f>
        <v>21600000</v>
      </c>
      <c r="R42" s="229">
        <f>Q42*3</f>
        <v>64800000</v>
      </c>
      <c r="S42" s="229">
        <f>N42*O42*$S$6</f>
        <v>9180000</v>
      </c>
      <c r="T42" s="229">
        <f>S42+R42+Q42</f>
        <v>95580000</v>
      </c>
      <c r="U42" s="182" t="s">
        <v>605</v>
      </c>
      <c r="V42" s="174">
        <v>25</v>
      </c>
      <c r="W42" s="174">
        <f>J42/V42</f>
        <v>10.8</v>
      </c>
      <c r="X42" s="184" t="str">
        <f>'[1]bang gia'!$C$46</f>
        <v>đồng/cây</v>
      </c>
      <c r="Y42" s="172">
        <v>13</v>
      </c>
      <c r="Z42" s="183"/>
      <c r="AA42" s="179"/>
      <c r="AB42" s="184"/>
      <c r="AC42" s="161"/>
      <c r="AD42" s="229">
        <f>SUM(AC42:AC52)</f>
        <v>54110000</v>
      </c>
      <c r="AE42" s="231">
        <f>AD42+T42</f>
        <v>149690000</v>
      </c>
      <c r="AF42" s="241" t="s">
        <v>398</v>
      </c>
      <c r="AG42" s="181"/>
      <c r="AH42" s="181"/>
      <c r="AI42" s="181"/>
      <c r="AJ42" s="181"/>
    </row>
    <row r="43" spans="1:36" s="15" customFormat="1" ht="22.5" customHeight="1">
      <c r="A43" s="230"/>
      <c r="B43" s="235"/>
      <c r="C43" s="179"/>
      <c r="D43" s="236"/>
      <c r="E43" s="236"/>
      <c r="F43" s="236"/>
      <c r="G43" s="236"/>
      <c r="H43" s="230"/>
      <c r="I43" s="230"/>
      <c r="J43" s="233"/>
      <c r="K43" s="230"/>
      <c r="L43" s="230"/>
      <c r="M43" s="233"/>
      <c r="N43" s="229"/>
      <c r="O43" s="229"/>
      <c r="P43" s="229"/>
      <c r="Q43" s="229"/>
      <c r="R43" s="229"/>
      <c r="S43" s="229"/>
      <c r="T43" s="229"/>
      <c r="U43" s="186" t="s">
        <v>421</v>
      </c>
      <c r="V43" s="174"/>
      <c r="W43" s="174"/>
      <c r="X43" s="184" t="str">
        <f>'[1]bang gia'!$C$46</f>
        <v>đồng/cây</v>
      </c>
      <c r="Y43" s="172">
        <v>11</v>
      </c>
      <c r="Z43" s="183">
        <v>4500000</v>
      </c>
      <c r="AA43" s="179"/>
      <c r="AB43" s="180">
        <v>1</v>
      </c>
      <c r="AC43" s="161">
        <f t="shared" ref="AC43:AC45" si="2">Y43*Z43*AB43</f>
        <v>49500000</v>
      </c>
      <c r="AD43" s="230"/>
      <c r="AE43" s="232"/>
      <c r="AF43" s="241"/>
      <c r="AG43" s="181"/>
      <c r="AH43" s="181"/>
      <c r="AI43" s="181"/>
      <c r="AJ43" s="181"/>
    </row>
    <row r="44" spans="1:36" s="15" customFormat="1" ht="22.5" customHeight="1">
      <c r="A44" s="230"/>
      <c r="B44" s="235"/>
      <c r="C44" s="179"/>
      <c r="D44" s="236"/>
      <c r="E44" s="236"/>
      <c r="F44" s="236"/>
      <c r="G44" s="236"/>
      <c r="H44" s="230"/>
      <c r="I44" s="230"/>
      <c r="J44" s="233"/>
      <c r="K44" s="230"/>
      <c r="L44" s="230"/>
      <c r="M44" s="233"/>
      <c r="N44" s="229"/>
      <c r="O44" s="229"/>
      <c r="P44" s="229"/>
      <c r="Q44" s="229"/>
      <c r="R44" s="229"/>
      <c r="S44" s="229"/>
      <c r="T44" s="229"/>
      <c r="U44" s="186" t="s">
        <v>423</v>
      </c>
      <c r="V44" s="174"/>
      <c r="W44" s="200">
        <f>(Y42-Y43)*0.3</f>
        <v>0.6</v>
      </c>
      <c r="X44" s="184" t="str">
        <f>'[1]bang gia'!$C$46</f>
        <v>đồng/cây</v>
      </c>
      <c r="Y44" s="172">
        <v>1</v>
      </c>
      <c r="Z44" s="183">
        <v>4500000</v>
      </c>
      <c r="AA44" s="179"/>
      <c r="AB44" s="180">
        <v>0.3</v>
      </c>
      <c r="AC44" s="161">
        <f t="shared" si="2"/>
        <v>1350000</v>
      </c>
      <c r="AD44" s="230"/>
      <c r="AE44" s="232"/>
      <c r="AF44" s="241"/>
      <c r="AG44" s="181"/>
      <c r="AH44" s="181"/>
      <c r="AI44" s="181"/>
      <c r="AJ44" s="181"/>
    </row>
    <row r="45" spans="1:36" s="15" customFormat="1" ht="22.5" customHeight="1">
      <c r="A45" s="230"/>
      <c r="B45" s="235"/>
      <c r="C45" s="179"/>
      <c r="D45" s="236"/>
      <c r="E45" s="236"/>
      <c r="F45" s="236"/>
      <c r="G45" s="236"/>
      <c r="H45" s="230"/>
      <c r="I45" s="230"/>
      <c r="J45" s="233"/>
      <c r="K45" s="230"/>
      <c r="L45" s="230"/>
      <c r="M45" s="233"/>
      <c r="N45" s="229"/>
      <c r="O45" s="229"/>
      <c r="P45" s="229"/>
      <c r="Q45" s="229"/>
      <c r="R45" s="229"/>
      <c r="S45" s="229"/>
      <c r="T45" s="229"/>
      <c r="U45" s="186" t="s">
        <v>424</v>
      </c>
      <c r="V45" s="174"/>
      <c r="W45" s="174"/>
      <c r="X45" s="184" t="str">
        <f>'[1]bang gia'!$C$46</f>
        <v>đồng/cây</v>
      </c>
      <c r="Y45" s="172">
        <v>1</v>
      </c>
      <c r="Z45" s="183">
        <v>4500000</v>
      </c>
      <c r="AA45" s="179"/>
      <c r="AB45" s="184">
        <v>0</v>
      </c>
      <c r="AC45" s="161">
        <f t="shared" si="2"/>
        <v>0</v>
      </c>
      <c r="AD45" s="230"/>
      <c r="AE45" s="232"/>
      <c r="AF45" s="241"/>
      <c r="AG45" s="181"/>
      <c r="AH45" s="181"/>
      <c r="AI45" s="181"/>
      <c r="AJ45" s="181"/>
    </row>
    <row r="46" spans="1:36" s="15" customFormat="1" ht="36" customHeight="1">
      <c r="A46" s="230"/>
      <c r="B46" s="235"/>
      <c r="C46" s="179"/>
      <c r="D46" s="236"/>
      <c r="E46" s="236"/>
      <c r="F46" s="236"/>
      <c r="G46" s="236"/>
      <c r="H46" s="230"/>
      <c r="I46" s="230"/>
      <c r="J46" s="233"/>
      <c r="K46" s="230"/>
      <c r="L46" s="230"/>
      <c r="M46" s="233"/>
      <c r="N46" s="229"/>
      <c r="O46" s="229"/>
      <c r="P46" s="229"/>
      <c r="Q46" s="229"/>
      <c r="R46" s="229"/>
      <c r="S46" s="229"/>
      <c r="T46" s="229"/>
      <c r="U46" s="182" t="s">
        <v>606</v>
      </c>
      <c r="V46" s="174">
        <v>20</v>
      </c>
      <c r="W46" s="174">
        <f>J42/V46</f>
        <v>13.5</v>
      </c>
      <c r="X46" s="174" t="s">
        <v>2</v>
      </c>
      <c r="Y46" s="172">
        <v>8</v>
      </c>
      <c r="Z46" s="183"/>
      <c r="AA46" s="179"/>
      <c r="AB46" s="184"/>
      <c r="AC46" s="184"/>
      <c r="AD46" s="230"/>
      <c r="AE46" s="232"/>
      <c r="AF46" s="181"/>
      <c r="AG46" s="181"/>
      <c r="AH46" s="181"/>
      <c r="AI46" s="181"/>
      <c r="AJ46" s="181"/>
    </row>
    <row r="47" spans="1:36" s="15" customFormat="1" ht="22.5" customHeight="1">
      <c r="A47" s="230"/>
      <c r="B47" s="235"/>
      <c r="C47" s="179"/>
      <c r="D47" s="236"/>
      <c r="E47" s="236"/>
      <c r="F47" s="236"/>
      <c r="G47" s="236"/>
      <c r="H47" s="230"/>
      <c r="I47" s="230"/>
      <c r="J47" s="233"/>
      <c r="K47" s="230"/>
      <c r="L47" s="230"/>
      <c r="M47" s="233"/>
      <c r="N47" s="229"/>
      <c r="O47" s="229"/>
      <c r="P47" s="229"/>
      <c r="Q47" s="229"/>
      <c r="R47" s="229"/>
      <c r="S47" s="229"/>
      <c r="T47" s="229"/>
      <c r="U47" s="186" t="s">
        <v>423</v>
      </c>
      <c r="V47" s="174"/>
      <c r="W47" s="174">
        <f>W46*0.3</f>
        <v>4.05</v>
      </c>
      <c r="X47" s="174" t="s">
        <v>2</v>
      </c>
      <c r="Y47" s="172">
        <v>4</v>
      </c>
      <c r="Z47" s="183">
        <v>1800000</v>
      </c>
      <c r="AA47" s="179"/>
      <c r="AB47" s="180">
        <v>0.3</v>
      </c>
      <c r="AC47" s="161">
        <f>Y47*Z47*AB47</f>
        <v>2160000</v>
      </c>
      <c r="AD47" s="230"/>
      <c r="AE47" s="232"/>
      <c r="AF47" s="181"/>
      <c r="AG47" s="181"/>
      <c r="AH47" s="181"/>
      <c r="AI47" s="181"/>
      <c r="AJ47" s="181"/>
    </row>
    <row r="48" spans="1:36" s="15" customFormat="1" ht="22.5" customHeight="1">
      <c r="A48" s="230"/>
      <c r="B48" s="235"/>
      <c r="C48" s="179"/>
      <c r="D48" s="236"/>
      <c r="E48" s="236"/>
      <c r="F48" s="236"/>
      <c r="G48" s="236"/>
      <c r="H48" s="230"/>
      <c r="I48" s="230"/>
      <c r="J48" s="233"/>
      <c r="K48" s="230"/>
      <c r="L48" s="230"/>
      <c r="M48" s="233"/>
      <c r="N48" s="229"/>
      <c r="O48" s="229"/>
      <c r="P48" s="229"/>
      <c r="Q48" s="229"/>
      <c r="R48" s="229"/>
      <c r="S48" s="229"/>
      <c r="T48" s="229"/>
      <c r="U48" s="186" t="s">
        <v>424</v>
      </c>
      <c r="V48" s="174"/>
      <c r="W48" s="174"/>
      <c r="X48" s="174" t="s">
        <v>2</v>
      </c>
      <c r="Y48" s="172">
        <v>4</v>
      </c>
      <c r="Z48" s="183">
        <v>1800000</v>
      </c>
      <c r="AA48" s="179"/>
      <c r="AB48" s="180">
        <v>0</v>
      </c>
      <c r="AC48" s="184">
        <v>0</v>
      </c>
      <c r="AD48" s="230"/>
      <c r="AE48" s="232"/>
      <c r="AF48" s="181"/>
      <c r="AG48" s="181"/>
      <c r="AH48" s="181"/>
      <c r="AI48" s="181"/>
      <c r="AJ48" s="181"/>
    </row>
    <row r="49" spans="1:36" s="15" customFormat="1" ht="35.25" customHeight="1">
      <c r="A49" s="230"/>
      <c r="B49" s="235"/>
      <c r="C49" s="179"/>
      <c r="D49" s="236"/>
      <c r="E49" s="236"/>
      <c r="F49" s="236"/>
      <c r="G49" s="236"/>
      <c r="H49" s="230"/>
      <c r="I49" s="230"/>
      <c r="J49" s="233"/>
      <c r="K49" s="230"/>
      <c r="L49" s="230"/>
      <c r="M49" s="233"/>
      <c r="N49" s="229"/>
      <c r="O49" s="229"/>
      <c r="P49" s="229"/>
      <c r="Q49" s="229"/>
      <c r="R49" s="229"/>
      <c r="S49" s="229"/>
      <c r="T49" s="229"/>
      <c r="U49" s="182" t="s">
        <v>646</v>
      </c>
      <c r="V49" s="174"/>
      <c r="W49" s="174"/>
      <c r="X49" s="174" t="s">
        <v>2</v>
      </c>
      <c r="Y49" s="172">
        <v>4</v>
      </c>
      <c r="Z49" s="183">
        <v>1000000</v>
      </c>
      <c r="AA49" s="179"/>
      <c r="AB49" s="180">
        <v>0</v>
      </c>
      <c r="AC49" s="184">
        <v>0</v>
      </c>
      <c r="AD49" s="230"/>
      <c r="AE49" s="232"/>
      <c r="AF49" s="181"/>
      <c r="AG49" s="181"/>
      <c r="AH49" s="181"/>
      <c r="AI49" s="181"/>
      <c r="AJ49" s="181"/>
    </row>
    <row r="50" spans="1:36" s="15" customFormat="1" ht="35.25" customHeight="1">
      <c r="A50" s="230"/>
      <c r="B50" s="235"/>
      <c r="C50" s="179"/>
      <c r="D50" s="236"/>
      <c r="E50" s="236"/>
      <c r="F50" s="236"/>
      <c r="G50" s="236"/>
      <c r="H50" s="230"/>
      <c r="I50" s="230"/>
      <c r="J50" s="233"/>
      <c r="K50" s="230"/>
      <c r="L50" s="230"/>
      <c r="M50" s="233"/>
      <c r="N50" s="229"/>
      <c r="O50" s="229"/>
      <c r="P50" s="229"/>
      <c r="Q50" s="229"/>
      <c r="R50" s="229"/>
      <c r="S50" s="229"/>
      <c r="T50" s="229"/>
      <c r="U50" s="182" t="s">
        <v>648</v>
      </c>
      <c r="V50" s="174"/>
      <c r="W50" s="174"/>
      <c r="X50" s="174" t="s">
        <v>2</v>
      </c>
      <c r="Y50" s="161">
        <v>6</v>
      </c>
      <c r="Z50" s="183">
        <v>200000</v>
      </c>
      <c r="AA50" s="179"/>
      <c r="AB50" s="180">
        <v>0</v>
      </c>
      <c r="AC50" s="184">
        <v>0</v>
      </c>
      <c r="AD50" s="230"/>
      <c r="AE50" s="232"/>
      <c r="AF50" s="181"/>
      <c r="AG50" s="181"/>
      <c r="AH50" s="181"/>
      <c r="AI50" s="181"/>
      <c r="AJ50" s="181"/>
    </row>
    <row r="51" spans="1:36" s="15" customFormat="1" ht="27" customHeight="1">
      <c r="A51" s="230"/>
      <c r="B51" s="235"/>
      <c r="C51" s="179"/>
      <c r="D51" s="236"/>
      <c r="E51" s="236"/>
      <c r="F51" s="236"/>
      <c r="G51" s="236"/>
      <c r="H51" s="230"/>
      <c r="I51" s="230"/>
      <c r="J51" s="233"/>
      <c r="K51" s="230"/>
      <c r="L51" s="230"/>
      <c r="M51" s="233"/>
      <c r="N51" s="229"/>
      <c r="O51" s="229"/>
      <c r="P51" s="229"/>
      <c r="Q51" s="229"/>
      <c r="R51" s="229"/>
      <c r="S51" s="229"/>
      <c r="T51" s="229"/>
      <c r="U51" s="182" t="s">
        <v>607</v>
      </c>
      <c r="V51" s="174"/>
      <c r="W51" s="174"/>
      <c r="X51" s="174" t="s">
        <v>0</v>
      </c>
      <c r="Y51" s="172">
        <v>100</v>
      </c>
      <c r="Z51" s="183">
        <v>11000</v>
      </c>
      <c r="AA51" s="179"/>
      <c r="AB51" s="197">
        <v>1</v>
      </c>
      <c r="AC51" s="161">
        <f>Y51*Z51*AB51</f>
        <v>1100000</v>
      </c>
      <c r="AD51" s="230"/>
      <c r="AE51" s="232"/>
      <c r="AF51" s="181"/>
      <c r="AG51" s="181"/>
      <c r="AH51" s="181"/>
      <c r="AI51" s="181"/>
      <c r="AJ51" s="181"/>
    </row>
    <row r="52" spans="1:36" s="15" customFormat="1" ht="27" customHeight="1">
      <c r="A52" s="230"/>
      <c r="B52" s="235"/>
      <c r="C52" s="179"/>
      <c r="D52" s="236"/>
      <c r="E52" s="236"/>
      <c r="F52" s="236"/>
      <c r="G52" s="236"/>
      <c r="H52" s="230"/>
      <c r="I52" s="230"/>
      <c r="J52" s="233"/>
      <c r="K52" s="230"/>
      <c r="L52" s="230"/>
      <c r="M52" s="233"/>
      <c r="N52" s="229"/>
      <c r="O52" s="229"/>
      <c r="P52" s="229"/>
      <c r="Q52" s="229"/>
      <c r="R52" s="229"/>
      <c r="S52" s="229"/>
      <c r="T52" s="229"/>
      <c r="U52" s="173" t="s">
        <v>608</v>
      </c>
      <c r="V52" s="164"/>
      <c r="W52" s="164"/>
      <c r="X52" s="164" t="s">
        <v>399</v>
      </c>
      <c r="Y52" s="161">
        <v>1</v>
      </c>
      <c r="Z52" s="161" t="str">
        <f>IFERROR(VLOOKUP(#REF!,'[1]bang gia'!$B$1:$D$206,3,FALSE),"-")</f>
        <v>-</v>
      </c>
      <c r="AA52" s="179"/>
      <c r="AB52" s="180">
        <v>0</v>
      </c>
      <c r="AC52" s="161">
        <v>0</v>
      </c>
      <c r="AD52" s="230"/>
      <c r="AE52" s="232"/>
      <c r="AF52" s="181"/>
      <c r="AG52" s="181"/>
      <c r="AH52" s="181"/>
      <c r="AI52" s="181"/>
      <c r="AJ52" s="181"/>
    </row>
    <row r="53" spans="1:36" s="15" customFormat="1" ht="27" customHeight="1">
      <c r="A53" s="230">
        <v>10</v>
      </c>
      <c r="B53" s="235" t="s">
        <v>589</v>
      </c>
      <c r="C53" s="179"/>
      <c r="D53" s="236">
        <v>64</v>
      </c>
      <c r="E53" s="236">
        <v>346</v>
      </c>
      <c r="F53" s="236">
        <v>360.2</v>
      </c>
      <c r="G53" s="236" t="s">
        <v>28</v>
      </c>
      <c r="H53" s="230">
        <v>360</v>
      </c>
      <c r="I53" s="230">
        <f>F53-H53</f>
        <v>0.19999999999998863</v>
      </c>
      <c r="J53" s="233">
        <v>360</v>
      </c>
      <c r="K53" s="230">
        <v>360</v>
      </c>
      <c r="L53" s="230"/>
      <c r="M53" s="233">
        <f>J53/K53*100</f>
        <v>100</v>
      </c>
      <c r="N53" s="229">
        <f>IF(M53&lt;10,2,IF(M53&lt;20,3,IF(M53&lt;30,5,IF(M53&gt;=70,12,IF(M53&gt;=30,6)))))</f>
        <v>12</v>
      </c>
      <c r="O53" s="229">
        <v>0</v>
      </c>
      <c r="P53" s="229">
        <f>$P$6</f>
        <v>80000</v>
      </c>
      <c r="Q53" s="229">
        <f>K53*P53</f>
        <v>28800000</v>
      </c>
      <c r="R53" s="229">
        <f>Q53*3</f>
        <v>86400000</v>
      </c>
      <c r="S53" s="229">
        <f>N53*O53*$S$6</f>
        <v>0</v>
      </c>
      <c r="T53" s="229">
        <f>S53+R53+Q53</f>
        <v>115200000</v>
      </c>
      <c r="U53" s="173" t="s">
        <v>592</v>
      </c>
      <c r="V53" s="164"/>
      <c r="W53" s="164"/>
      <c r="X53" s="174" t="s">
        <v>0</v>
      </c>
      <c r="Y53" s="201">
        <v>360</v>
      </c>
      <c r="Z53" s="183">
        <v>180000</v>
      </c>
      <c r="AA53" s="179"/>
      <c r="AB53" s="180">
        <v>1</v>
      </c>
      <c r="AC53" s="161">
        <f>Y53*Z53*AB53</f>
        <v>64800000</v>
      </c>
      <c r="AD53" s="229">
        <f>SUM(AC53:AC55)</f>
        <v>64800000</v>
      </c>
      <c r="AE53" s="231">
        <f>AD53+T53</f>
        <v>180000000</v>
      </c>
      <c r="AF53" s="181"/>
      <c r="AG53" s="181"/>
      <c r="AH53" s="181"/>
      <c r="AI53" s="181"/>
      <c r="AJ53" s="181"/>
    </row>
    <row r="54" spans="1:36" s="15" customFormat="1" ht="27" customHeight="1">
      <c r="A54" s="230"/>
      <c r="B54" s="235"/>
      <c r="C54" s="179"/>
      <c r="D54" s="236"/>
      <c r="E54" s="236"/>
      <c r="F54" s="236"/>
      <c r="G54" s="236"/>
      <c r="H54" s="230"/>
      <c r="I54" s="230"/>
      <c r="J54" s="233"/>
      <c r="K54" s="230"/>
      <c r="L54" s="230"/>
      <c r="M54" s="233"/>
      <c r="N54" s="229"/>
      <c r="O54" s="229"/>
      <c r="P54" s="229"/>
      <c r="Q54" s="229"/>
      <c r="R54" s="229"/>
      <c r="S54" s="229"/>
      <c r="T54" s="229"/>
      <c r="U54" s="173" t="s">
        <v>609</v>
      </c>
      <c r="V54" s="164"/>
      <c r="W54" s="164"/>
      <c r="X54" s="184" t="s">
        <v>688</v>
      </c>
      <c r="Y54" s="192">
        <v>0.8</v>
      </c>
      <c r="Z54" s="172"/>
      <c r="AA54" s="179"/>
      <c r="AB54" s="180">
        <v>0</v>
      </c>
      <c r="AC54" s="184">
        <v>0</v>
      </c>
      <c r="AD54" s="230"/>
      <c r="AE54" s="232"/>
      <c r="AF54" s="181"/>
      <c r="AG54" s="181"/>
      <c r="AH54" s="181"/>
      <c r="AI54" s="181"/>
      <c r="AJ54" s="181"/>
    </row>
    <row r="55" spans="1:36" s="15" customFormat="1" ht="27" customHeight="1">
      <c r="A55" s="230"/>
      <c r="B55" s="235"/>
      <c r="C55" s="179"/>
      <c r="D55" s="236"/>
      <c r="E55" s="236"/>
      <c r="F55" s="236"/>
      <c r="G55" s="236"/>
      <c r="H55" s="230"/>
      <c r="I55" s="230"/>
      <c r="J55" s="233"/>
      <c r="K55" s="230"/>
      <c r="L55" s="230"/>
      <c r="M55" s="233"/>
      <c r="N55" s="229"/>
      <c r="O55" s="229"/>
      <c r="P55" s="229"/>
      <c r="Q55" s="229"/>
      <c r="R55" s="229"/>
      <c r="S55" s="229"/>
      <c r="T55" s="229"/>
      <c r="U55" s="173" t="s">
        <v>610</v>
      </c>
      <c r="V55" s="164"/>
      <c r="W55" s="164"/>
      <c r="X55" s="164" t="s">
        <v>399</v>
      </c>
      <c r="Y55" s="161">
        <v>1</v>
      </c>
      <c r="Z55" s="161" t="str">
        <f>IFERROR(VLOOKUP(#REF!,'[1]bang gia'!$B$1:$D$206,3,FALSE),"-")</f>
        <v>-</v>
      </c>
      <c r="AA55" s="179"/>
      <c r="AB55" s="180">
        <v>0</v>
      </c>
      <c r="AC55" s="161">
        <v>0</v>
      </c>
      <c r="AD55" s="230"/>
      <c r="AE55" s="232"/>
      <c r="AF55" s="181"/>
      <c r="AG55" s="181"/>
      <c r="AH55" s="181"/>
      <c r="AI55" s="181"/>
      <c r="AJ55" s="181"/>
    </row>
    <row r="56" spans="1:36" s="25" customFormat="1" ht="35.25" customHeight="1">
      <c r="A56" s="184">
        <v>11</v>
      </c>
      <c r="B56" s="173" t="s">
        <v>590</v>
      </c>
      <c r="C56" s="179"/>
      <c r="D56" s="193">
        <v>64</v>
      </c>
      <c r="E56" s="193">
        <v>383</v>
      </c>
      <c r="F56" s="193">
        <v>253</v>
      </c>
      <c r="G56" s="193" t="s">
        <v>397</v>
      </c>
      <c r="H56" s="184">
        <v>252</v>
      </c>
      <c r="I56" s="184">
        <f>F56-H56</f>
        <v>1</v>
      </c>
      <c r="J56" s="194">
        <v>252</v>
      </c>
      <c r="K56" s="184">
        <v>648</v>
      </c>
      <c r="L56" s="184"/>
      <c r="M56" s="194">
        <f>J56/K56*100</f>
        <v>38.888888888888893</v>
      </c>
      <c r="N56" s="172">
        <f>IF(M56&lt;10,2,IF(M56&lt;20,3,IF(M56&lt;30,5,IF(M56&gt;=70,12,IF(M56&gt;=30,6)))))</f>
        <v>6</v>
      </c>
      <c r="O56" s="172">
        <v>3</v>
      </c>
      <c r="P56" s="172">
        <f>$P$6</f>
        <v>80000</v>
      </c>
      <c r="Q56" s="172">
        <f>J56*P56</f>
        <v>20160000</v>
      </c>
      <c r="R56" s="172">
        <f>Q56*3</f>
        <v>60480000</v>
      </c>
      <c r="S56" s="172">
        <f>N56*O56*$S$6</f>
        <v>9180000</v>
      </c>
      <c r="T56" s="172">
        <f>S56+R56+Q56</f>
        <v>89820000</v>
      </c>
      <c r="U56" s="173" t="s">
        <v>591</v>
      </c>
      <c r="V56" s="174"/>
      <c r="W56" s="174"/>
      <c r="X56" s="174" t="s">
        <v>0</v>
      </c>
      <c r="Y56" s="161">
        <v>252</v>
      </c>
      <c r="Z56" s="172">
        <v>97000</v>
      </c>
      <c r="AA56" s="179"/>
      <c r="AB56" s="180">
        <v>1</v>
      </c>
      <c r="AC56" s="161">
        <f>Y56*Z56*AB56</f>
        <v>24444000</v>
      </c>
      <c r="AD56" s="172">
        <f>AC56</f>
        <v>24444000</v>
      </c>
      <c r="AE56" s="195">
        <f>AD56+T56</f>
        <v>114264000</v>
      </c>
      <c r="AF56" s="181"/>
      <c r="AG56" s="181"/>
      <c r="AH56" s="181"/>
      <c r="AI56" s="181"/>
      <c r="AJ56" s="181"/>
    </row>
    <row r="57" spans="1:36" s="17" customFormat="1" ht="27" customHeight="1">
      <c r="A57" s="202"/>
      <c r="B57" s="203" t="s">
        <v>407</v>
      </c>
      <c r="C57" s="204"/>
      <c r="D57" s="205"/>
      <c r="E57" s="205"/>
      <c r="F57" s="205"/>
      <c r="G57" s="205"/>
      <c r="H57" s="202"/>
      <c r="I57" s="206"/>
      <c r="J57" s="184"/>
      <c r="K57" s="184"/>
      <c r="L57" s="202"/>
      <c r="M57" s="207"/>
      <c r="N57" s="195"/>
      <c r="O57" s="195"/>
      <c r="P57" s="195"/>
      <c r="Q57" s="195"/>
      <c r="R57" s="195"/>
      <c r="S57" s="195"/>
      <c r="T57" s="195"/>
      <c r="U57" s="162"/>
      <c r="V57" s="206"/>
      <c r="W57" s="206"/>
      <c r="X57" s="202"/>
      <c r="Y57" s="195"/>
      <c r="Z57" s="195"/>
      <c r="AA57" s="204"/>
      <c r="AB57" s="157"/>
      <c r="AC57" s="158"/>
      <c r="AD57" s="195"/>
      <c r="AE57" s="195"/>
      <c r="AF57" s="152"/>
      <c r="AG57" s="152"/>
      <c r="AH57" s="152"/>
      <c r="AI57" s="152"/>
      <c r="AJ57" s="152"/>
    </row>
    <row r="58" spans="1:36" s="3" customFormat="1" ht="22.5" customHeight="1">
      <c r="A58" s="230">
        <v>12</v>
      </c>
      <c r="B58" s="238" t="s">
        <v>416</v>
      </c>
      <c r="C58" s="238" t="s">
        <v>39</v>
      </c>
      <c r="D58" s="238">
        <v>64</v>
      </c>
      <c r="E58" s="238">
        <v>409</v>
      </c>
      <c r="F58" s="238">
        <v>468.3</v>
      </c>
      <c r="G58" s="238" t="s">
        <v>28</v>
      </c>
      <c r="H58" s="238">
        <v>468</v>
      </c>
      <c r="I58" s="238">
        <f>F58-H58</f>
        <v>0.30000000000001137</v>
      </c>
      <c r="J58" s="243">
        <f>H58+H61</f>
        <v>1044</v>
      </c>
      <c r="K58" s="243">
        <v>1044</v>
      </c>
      <c r="L58" s="238"/>
      <c r="M58" s="244">
        <f>J58/K58*100</f>
        <v>100</v>
      </c>
      <c r="N58" s="245">
        <v>12</v>
      </c>
      <c r="O58" s="245">
        <v>4</v>
      </c>
      <c r="P58" s="243">
        <v>80000</v>
      </c>
      <c r="Q58" s="243">
        <f>P58*J58</f>
        <v>83520000</v>
      </c>
      <c r="R58" s="243">
        <f>Q58*3</f>
        <v>250560000</v>
      </c>
      <c r="S58" s="243">
        <f>N58*O58*S6</f>
        <v>24480000</v>
      </c>
      <c r="T58" s="243">
        <f>SUM(Q58:S68)</f>
        <v>358560000</v>
      </c>
      <c r="U58" s="182" t="s">
        <v>417</v>
      </c>
      <c r="V58" s="191"/>
      <c r="W58" s="191"/>
      <c r="X58" s="174" t="s">
        <v>0</v>
      </c>
      <c r="Y58" s="161">
        <v>468</v>
      </c>
      <c r="Z58" s="183">
        <v>180000</v>
      </c>
      <c r="AA58" s="208"/>
      <c r="AB58" s="197">
        <v>1</v>
      </c>
      <c r="AC58" s="161">
        <f t="shared" ref="AC58:AC59" si="3">Y58*Z58*AB58</f>
        <v>84240000</v>
      </c>
      <c r="AD58" s="243">
        <f>SUM(AC58:AC60)</f>
        <v>84240000</v>
      </c>
      <c r="AE58" s="228">
        <f>T58+AD58+AD61</f>
        <v>525750000</v>
      </c>
      <c r="AF58" s="153"/>
      <c r="AG58" s="153"/>
      <c r="AH58" s="153"/>
      <c r="AI58" s="153"/>
      <c r="AJ58" s="153"/>
    </row>
    <row r="59" spans="1:36" s="3" customFormat="1" ht="22.5" customHeight="1">
      <c r="A59" s="230"/>
      <c r="B59" s="238"/>
      <c r="C59" s="238"/>
      <c r="D59" s="238"/>
      <c r="E59" s="238"/>
      <c r="F59" s="238"/>
      <c r="G59" s="238"/>
      <c r="H59" s="238"/>
      <c r="I59" s="238"/>
      <c r="J59" s="243"/>
      <c r="K59" s="243"/>
      <c r="L59" s="238"/>
      <c r="M59" s="244"/>
      <c r="N59" s="245"/>
      <c r="O59" s="245"/>
      <c r="P59" s="243"/>
      <c r="Q59" s="243"/>
      <c r="R59" s="243"/>
      <c r="S59" s="243"/>
      <c r="T59" s="243"/>
      <c r="U59" s="179" t="s">
        <v>418</v>
      </c>
      <c r="V59" s="209"/>
      <c r="W59" s="209"/>
      <c r="X59" s="192">
        <v>219</v>
      </c>
      <c r="Y59" s="165">
        <v>0</v>
      </c>
      <c r="Z59" s="161"/>
      <c r="AA59" s="208"/>
      <c r="AB59" s="197">
        <v>0</v>
      </c>
      <c r="AC59" s="161">
        <f t="shared" si="3"/>
        <v>0</v>
      </c>
      <c r="AD59" s="243"/>
      <c r="AE59" s="228"/>
      <c r="AF59" s="155"/>
      <c r="AG59" s="153"/>
      <c r="AH59" s="153"/>
      <c r="AI59" s="153"/>
      <c r="AJ59" s="153"/>
    </row>
    <row r="60" spans="1:36" s="3" customFormat="1" ht="22.5" customHeight="1">
      <c r="A60" s="230"/>
      <c r="B60" s="238"/>
      <c r="C60" s="238"/>
      <c r="D60" s="238"/>
      <c r="E60" s="238"/>
      <c r="F60" s="238"/>
      <c r="G60" s="238"/>
      <c r="H60" s="238"/>
      <c r="I60" s="238"/>
      <c r="J60" s="243"/>
      <c r="K60" s="243"/>
      <c r="L60" s="238"/>
      <c r="M60" s="244"/>
      <c r="N60" s="245"/>
      <c r="O60" s="245"/>
      <c r="P60" s="243"/>
      <c r="Q60" s="243"/>
      <c r="R60" s="243"/>
      <c r="S60" s="243"/>
      <c r="T60" s="243"/>
      <c r="U60" s="173" t="s">
        <v>419</v>
      </c>
      <c r="V60" s="191"/>
      <c r="W60" s="191"/>
      <c r="X60" s="164" t="s">
        <v>399</v>
      </c>
      <c r="Y60" s="161">
        <v>1</v>
      </c>
      <c r="Z60" s="183"/>
      <c r="AA60" s="209"/>
      <c r="AB60" s="197">
        <v>0</v>
      </c>
      <c r="AC60" s="161">
        <f t="shared" ref="AC60" si="4">Y60*Z60*AB60/100</f>
        <v>0</v>
      </c>
      <c r="AD60" s="243"/>
      <c r="AE60" s="228"/>
      <c r="AF60" s="155"/>
      <c r="AG60" s="153"/>
      <c r="AH60" s="153"/>
      <c r="AI60" s="153"/>
      <c r="AJ60" s="153"/>
    </row>
    <row r="61" spans="1:36" s="3" customFormat="1" ht="33" customHeight="1">
      <c r="A61" s="230"/>
      <c r="B61" s="238"/>
      <c r="C61" s="230"/>
      <c r="D61" s="230">
        <v>64</v>
      </c>
      <c r="E61" s="230">
        <v>435</v>
      </c>
      <c r="F61" s="230">
        <v>564.9</v>
      </c>
      <c r="G61" s="230" t="s">
        <v>28</v>
      </c>
      <c r="H61" s="229">
        <v>576</v>
      </c>
      <c r="I61" s="242">
        <f>F61-H61</f>
        <v>-11.100000000000023</v>
      </c>
      <c r="J61" s="243"/>
      <c r="K61" s="243"/>
      <c r="L61" s="242"/>
      <c r="M61" s="244"/>
      <c r="N61" s="245"/>
      <c r="O61" s="245"/>
      <c r="P61" s="243"/>
      <c r="Q61" s="243"/>
      <c r="R61" s="243"/>
      <c r="S61" s="243"/>
      <c r="T61" s="243"/>
      <c r="U61" s="210" t="s">
        <v>420</v>
      </c>
      <c r="V61" s="191">
        <v>20</v>
      </c>
      <c r="W61" s="191">
        <f>H61/V61</f>
        <v>28.8</v>
      </c>
      <c r="X61" s="164" t="s">
        <v>2</v>
      </c>
      <c r="Y61" s="161">
        <v>26</v>
      </c>
      <c r="Z61" s="183"/>
      <c r="AA61" s="209"/>
      <c r="AB61" s="197"/>
      <c r="AC61" s="161">
        <f>Y61*Z61*AB61</f>
        <v>0</v>
      </c>
      <c r="AD61" s="243">
        <f>SUM(AC61:AC68)</f>
        <v>82950000</v>
      </c>
      <c r="AE61" s="228"/>
      <c r="AF61" s="155" t="s">
        <v>492</v>
      </c>
      <c r="AG61" s="153"/>
      <c r="AH61" s="153"/>
      <c r="AI61" s="153"/>
      <c r="AJ61" s="153"/>
    </row>
    <row r="62" spans="1:36" s="3" customFormat="1" ht="24.75" customHeight="1">
      <c r="A62" s="230"/>
      <c r="B62" s="238"/>
      <c r="C62" s="230"/>
      <c r="D62" s="230"/>
      <c r="E62" s="230"/>
      <c r="F62" s="230"/>
      <c r="G62" s="230"/>
      <c r="H62" s="229"/>
      <c r="I62" s="242"/>
      <c r="J62" s="243"/>
      <c r="K62" s="243"/>
      <c r="L62" s="242"/>
      <c r="M62" s="244"/>
      <c r="N62" s="245"/>
      <c r="O62" s="245"/>
      <c r="P62" s="243"/>
      <c r="Q62" s="243"/>
      <c r="R62" s="243"/>
      <c r="S62" s="243"/>
      <c r="T62" s="243"/>
      <c r="U62" s="186" t="s">
        <v>421</v>
      </c>
      <c r="V62" s="191"/>
      <c r="W62" s="191"/>
      <c r="X62" s="164" t="s">
        <v>2</v>
      </c>
      <c r="Y62" s="161">
        <v>26</v>
      </c>
      <c r="Z62" s="183">
        <v>2500000</v>
      </c>
      <c r="AA62" s="209"/>
      <c r="AB62" s="197">
        <v>1</v>
      </c>
      <c r="AC62" s="161">
        <f>Y62*Z62*AB62</f>
        <v>65000000</v>
      </c>
      <c r="AD62" s="243"/>
      <c r="AE62" s="228"/>
      <c r="AF62" s="155"/>
      <c r="AG62" s="153"/>
      <c r="AH62" s="153"/>
      <c r="AI62" s="153"/>
      <c r="AJ62" s="153"/>
    </row>
    <row r="63" spans="1:36" s="3" customFormat="1" ht="33" customHeight="1">
      <c r="A63" s="230"/>
      <c r="B63" s="238"/>
      <c r="C63" s="230"/>
      <c r="D63" s="230"/>
      <c r="E63" s="230"/>
      <c r="F63" s="230"/>
      <c r="G63" s="230"/>
      <c r="H63" s="229"/>
      <c r="I63" s="242"/>
      <c r="J63" s="243"/>
      <c r="K63" s="243"/>
      <c r="L63" s="242"/>
      <c r="M63" s="244"/>
      <c r="N63" s="245"/>
      <c r="O63" s="245"/>
      <c r="P63" s="243"/>
      <c r="Q63" s="243"/>
      <c r="R63" s="243"/>
      <c r="S63" s="243"/>
      <c r="T63" s="243"/>
      <c r="U63" s="210" t="s">
        <v>422</v>
      </c>
      <c r="V63" s="191"/>
      <c r="W63" s="191"/>
      <c r="X63" s="164" t="s">
        <v>2</v>
      </c>
      <c r="Y63" s="161">
        <v>10</v>
      </c>
      <c r="Z63" s="183"/>
      <c r="AA63" s="209"/>
      <c r="AB63" s="197"/>
      <c r="AC63" s="161">
        <f>Y63*Z63*AB63</f>
        <v>0</v>
      </c>
      <c r="AD63" s="243"/>
      <c r="AE63" s="228"/>
      <c r="AF63" s="155"/>
      <c r="AG63" s="153"/>
      <c r="AH63" s="153"/>
      <c r="AI63" s="153"/>
      <c r="AJ63" s="153"/>
    </row>
    <row r="64" spans="1:36" s="3" customFormat="1" ht="23.25" customHeight="1">
      <c r="A64" s="230"/>
      <c r="B64" s="238"/>
      <c r="C64" s="230"/>
      <c r="D64" s="230"/>
      <c r="E64" s="230"/>
      <c r="F64" s="230"/>
      <c r="G64" s="230"/>
      <c r="H64" s="229"/>
      <c r="I64" s="242"/>
      <c r="J64" s="243"/>
      <c r="K64" s="243"/>
      <c r="L64" s="242"/>
      <c r="M64" s="244"/>
      <c r="N64" s="245"/>
      <c r="O64" s="245"/>
      <c r="P64" s="243"/>
      <c r="Q64" s="243"/>
      <c r="R64" s="243"/>
      <c r="S64" s="243"/>
      <c r="T64" s="243"/>
      <c r="U64" s="186" t="s">
        <v>421</v>
      </c>
      <c r="V64" s="191"/>
      <c r="W64" s="191"/>
      <c r="X64" s="164" t="s">
        <v>2</v>
      </c>
      <c r="Y64" s="161">
        <v>3</v>
      </c>
      <c r="Z64" s="183">
        <v>1800000</v>
      </c>
      <c r="AA64" s="209"/>
      <c r="AB64" s="197">
        <v>1</v>
      </c>
      <c r="AC64" s="161">
        <f t="shared" ref="AC64:AC66" si="5">Y64*Z64*AB64</f>
        <v>5400000</v>
      </c>
      <c r="AD64" s="243"/>
      <c r="AE64" s="228"/>
      <c r="AF64" s="155"/>
      <c r="AG64" s="153"/>
      <c r="AH64" s="153"/>
      <c r="AI64" s="153"/>
      <c r="AJ64" s="153"/>
    </row>
    <row r="65" spans="1:36" s="3" customFormat="1" ht="23.25" customHeight="1">
      <c r="A65" s="230"/>
      <c r="B65" s="238"/>
      <c r="C65" s="230"/>
      <c r="D65" s="230"/>
      <c r="E65" s="230"/>
      <c r="F65" s="230"/>
      <c r="G65" s="230"/>
      <c r="H65" s="229"/>
      <c r="I65" s="242"/>
      <c r="J65" s="243"/>
      <c r="K65" s="243"/>
      <c r="L65" s="242"/>
      <c r="M65" s="244"/>
      <c r="N65" s="245"/>
      <c r="O65" s="245"/>
      <c r="P65" s="243"/>
      <c r="Q65" s="243"/>
      <c r="R65" s="243"/>
      <c r="S65" s="243"/>
      <c r="T65" s="243"/>
      <c r="U65" s="186" t="s">
        <v>423</v>
      </c>
      <c r="V65" s="191"/>
      <c r="W65" s="191">
        <f>0.3*7</f>
        <v>2.1</v>
      </c>
      <c r="X65" s="164" t="s">
        <v>2</v>
      </c>
      <c r="Y65" s="161">
        <v>7</v>
      </c>
      <c r="Z65" s="183">
        <v>1800000</v>
      </c>
      <c r="AA65" s="209"/>
      <c r="AB65" s="197">
        <v>0.5</v>
      </c>
      <c r="AC65" s="161">
        <f t="shared" si="5"/>
        <v>6300000</v>
      </c>
      <c r="AD65" s="243"/>
      <c r="AE65" s="228"/>
      <c r="AF65" s="155"/>
      <c r="AG65" s="153"/>
      <c r="AH65" s="153"/>
      <c r="AI65" s="153"/>
      <c r="AJ65" s="153"/>
    </row>
    <row r="66" spans="1:36" s="3" customFormat="1" ht="22.5" customHeight="1">
      <c r="A66" s="230"/>
      <c r="B66" s="238"/>
      <c r="C66" s="230"/>
      <c r="D66" s="230"/>
      <c r="E66" s="230"/>
      <c r="F66" s="230"/>
      <c r="G66" s="230"/>
      <c r="H66" s="229"/>
      <c r="I66" s="242"/>
      <c r="J66" s="243"/>
      <c r="K66" s="243"/>
      <c r="L66" s="242"/>
      <c r="M66" s="244"/>
      <c r="N66" s="245"/>
      <c r="O66" s="245"/>
      <c r="P66" s="243"/>
      <c r="Q66" s="243"/>
      <c r="R66" s="243"/>
      <c r="S66" s="243"/>
      <c r="T66" s="243"/>
      <c r="U66" s="210" t="s">
        <v>558</v>
      </c>
      <c r="V66" s="191"/>
      <c r="W66" s="191"/>
      <c r="X66" s="164" t="s">
        <v>0</v>
      </c>
      <c r="Y66" s="164">
        <v>500</v>
      </c>
      <c r="Z66" s="172">
        <v>12500</v>
      </c>
      <c r="AA66" s="184"/>
      <c r="AB66" s="197">
        <v>1</v>
      </c>
      <c r="AC66" s="161">
        <f t="shared" si="5"/>
        <v>6250000</v>
      </c>
      <c r="AD66" s="243"/>
      <c r="AE66" s="228"/>
      <c r="AF66" s="155"/>
      <c r="AG66" s="153"/>
      <c r="AH66" s="153"/>
      <c r="AI66" s="153"/>
      <c r="AJ66" s="153"/>
    </row>
    <row r="67" spans="1:36" s="3" customFormat="1" ht="22.5" customHeight="1">
      <c r="A67" s="230"/>
      <c r="B67" s="238"/>
      <c r="C67" s="230"/>
      <c r="D67" s="230"/>
      <c r="E67" s="230"/>
      <c r="F67" s="230"/>
      <c r="G67" s="230"/>
      <c r="H67" s="229"/>
      <c r="I67" s="242"/>
      <c r="J67" s="243"/>
      <c r="K67" s="243"/>
      <c r="L67" s="242"/>
      <c r="M67" s="244"/>
      <c r="N67" s="245"/>
      <c r="O67" s="245"/>
      <c r="P67" s="243"/>
      <c r="Q67" s="243"/>
      <c r="R67" s="243"/>
      <c r="S67" s="243"/>
      <c r="T67" s="243"/>
      <c r="U67" s="173" t="s">
        <v>425</v>
      </c>
      <c r="V67" s="191"/>
      <c r="W67" s="191"/>
      <c r="X67" s="165" t="s">
        <v>8</v>
      </c>
      <c r="Y67" s="192">
        <v>0.3</v>
      </c>
      <c r="Z67" s="211"/>
      <c r="AA67" s="209"/>
      <c r="AB67" s="197">
        <v>0</v>
      </c>
      <c r="AC67" s="161">
        <f t="shared" ref="AC67:AC68" si="6">Y67*Z67*AB67/100</f>
        <v>0</v>
      </c>
      <c r="AD67" s="243"/>
      <c r="AE67" s="228"/>
      <c r="AF67" s="155"/>
      <c r="AG67" s="153"/>
      <c r="AH67" s="153"/>
      <c r="AI67" s="153"/>
      <c r="AJ67" s="153"/>
    </row>
    <row r="68" spans="1:36" s="3" customFormat="1" ht="22.5" customHeight="1">
      <c r="A68" s="230"/>
      <c r="B68" s="238"/>
      <c r="C68" s="230"/>
      <c r="D68" s="230"/>
      <c r="E68" s="230"/>
      <c r="F68" s="230"/>
      <c r="G68" s="230"/>
      <c r="H68" s="229"/>
      <c r="I68" s="242"/>
      <c r="J68" s="243"/>
      <c r="K68" s="243"/>
      <c r="L68" s="242"/>
      <c r="M68" s="244"/>
      <c r="N68" s="245"/>
      <c r="O68" s="245"/>
      <c r="P68" s="243"/>
      <c r="Q68" s="243"/>
      <c r="R68" s="243"/>
      <c r="S68" s="243"/>
      <c r="T68" s="243"/>
      <c r="U68" s="173" t="s">
        <v>426</v>
      </c>
      <c r="V68" s="191"/>
      <c r="W68" s="191"/>
      <c r="X68" s="164" t="s">
        <v>3</v>
      </c>
      <c r="Y68" s="192">
        <v>1</v>
      </c>
      <c r="Z68" s="183"/>
      <c r="AA68" s="209"/>
      <c r="AB68" s="197">
        <v>0</v>
      </c>
      <c r="AC68" s="161">
        <f t="shared" si="6"/>
        <v>0</v>
      </c>
      <c r="AD68" s="243"/>
      <c r="AE68" s="228"/>
      <c r="AF68" s="155"/>
      <c r="AG68" s="153"/>
      <c r="AH68" s="153"/>
      <c r="AI68" s="153"/>
      <c r="AJ68" s="153"/>
    </row>
    <row r="69" spans="1:36" s="16" customFormat="1" ht="50.25" customHeight="1">
      <c r="A69" s="184">
        <v>13</v>
      </c>
      <c r="B69" s="173" t="s">
        <v>427</v>
      </c>
      <c r="C69" s="173" t="s">
        <v>409</v>
      </c>
      <c r="D69" s="164">
        <v>64</v>
      </c>
      <c r="E69" s="164">
        <v>416</v>
      </c>
      <c r="F69" s="164">
        <v>358.6</v>
      </c>
      <c r="G69" s="164" t="s">
        <v>28</v>
      </c>
      <c r="H69" s="161">
        <v>360</v>
      </c>
      <c r="I69" s="192">
        <f>F69-H69</f>
        <v>-1.3999999999999773</v>
      </c>
      <c r="J69" s="161">
        <v>360</v>
      </c>
      <c r="K69" s="161">
        <v>360</v>
      </c>
      <c r="L69" s="161"/>
      <c r="M69" s="212">
        <f>J69/K69*100</f>
        <v>100</v>
      </c>
      <c r="N69" s="161">
        <v>12</v>
      </c>
      <c r="O69" s="161">
        <v>2</v>
      </c>
      <c r="P69" s="161">
        <v>80000</v>
      </c>
      <c r="Q69" s="161">
        <f>P69*J69</f>
        <v>28800000</v>
      </c>
      <c r="R69" s="161">
        <f>Q69*3</f>
        <v>86400000</v>
      </c>
      <c r="S69" s="161">
        <f>N69*O69*S6</f>
        <v>12240000</v>
      </c>
      <c r="T69" s="161">
        <f>SUM(Q69:S69)</f>
        <v>127440000</v>
      </c>
      <c r="U69" s="210" t="s">
        <v>629</v>
      </c>
      <c r="V69" s="191"/>
      <c r="W69" s="191"/>
      <c r="X69" s="164" t="s">
        <v>0</v>
      </c>
      <c r="Y69" s="164">
        <v>360</v>
      </c>
      <c r="Z69" s="172">
        <v>20000</v>
      </c>
      <c r="AA69" s="184"/>
      <c r="AB69" s="197">
        <v>1</v>
      </c>
      <c r="AC69" s="161">
        <f>Y69*Z69*AB69</f>
        <v>7200000</v>
      </c>
      <c r="AD69" s="161">
        <f>SUM(AC69:AC69)</f>
        <v>7200000</v>
      </c>
      <c r="AE69" s="158">
        <f>T69+AD69</f>
        <v>134640000</v>
      </c>
      <c r="AF69" s="155"/>
      <c r="AG69" s="213"/>
      <c r="AH69" s="214"/>
      <c r="AI69" s="214"/>
      <c r="AJ69" s="214"/>
    </row>
    <row r="70" spans="1:36" s="16" customFormat="1" ht="38.25" customHeight="1">
      <c r="A70" s="230">
        <v>14</v>
      </c>
      <c r="B70" s="235" t="s">
        <v>413</v>
      </c>
      <c r="C70" s="235" t="s">
        <v>410</v>
      </c>
      <c r="D70" s="238">
        <v>64</v>
      </c>
      <c r="E70" s="238">
        <v>413</v>
      </c>
      <c r="F70" s="238">
        <v>1074.9000000000001</v>
      </c>
      <c r="G70" s="238" t="s">
        <v>28</v>
      </c>
      <c r="H70" s="243">
        <v>1080</v>
      </c>
      <c r="I70" s="247">
        <f>F70-H70</f>
        <v>-5.0999999999999091</v>
      </c>
      <c r="J70" s="229">
        <v>1080</v>
      </c>
      <c r="K70" s="229">
        <v>1512</v>
      </c>
      <c r="L70" s="229"/>
      <c r="M70" s="246">
        <f>J70/K70*100</f>
        <v>71.428571428571431</v>
      </c>
      <c r="N70" s="229">
        <v>12</v>
      </c>
      <c r="O70" s="229">
        <v>5</v>
      </c>
      <c r="P70" s="229">
        <v>80000</v>
      </c>
      <c r="Q70" s="229">
        <f>P70*J70</f>
        <v>86400000</v>
      </c>
      <c r="R70" s="229">
        <f>Q70*3</f>
        <v>259200000</v>
      </c>
      <c r="S70" s="229">
        <f>N70*O70*S6</f>
        <v>30600000</v>
      </c>
      <c r="T70" s="229">
        <f>SUM(Q70:S85)</f>
        <v>376200000</v>
      </c>
      <c r="U70" s="210" t="s">
        <v>638</v>
      </c>
      <c r="V70" s="192">
        <v>25</v>
      </c>
      <c r="W70" s="192">
        <f>J70/V70</f>
        <v>43.2</v>
      </c>
      <c r="X70" s="164" t="s">
        <v>2</v>
      </c>
      <c r="Y70" s="215">
        <v>22</v>
      </c>
      <c r="Z70" s="215"/>
      <c r="AA70" s="183"/>
      <c r="AB70" s="197"/>
      <c r="AC70" s="161"/>
      <c r="AD70" s="243">
        <f>SUM(AC70:AC85)</f>
        <v>131325000</v>
      </c>
      <c r="AE70" s="228">
        <f>T70+AD70</f>
        <v>507525000</v>
      </c>
      <c r="AF70" s="155" t="s">
        <v>428</v>
      </c>
      <c r="AG70" s="213"/>
      <c r="AH70" s="214"/>
      <c r="AI70" s="214"/>
      <c r="AJ70" s="214"/>
    </row>
    <row r="71" spans="1:36" s="16" customFormat="1" ht="26.25" customHeight="1">
      <c r="A71" s="230"/>
      <c r="B71" s="235"/>
      <c r="C71" s="235"/>
      <c r="D71" s="238"/>
      <c r="E71" s="238"/>
      <c r="F71" s="238"/>
      <c r="G71" s="238"/>
      <c r="H71" s="243"/>
      <c r="I71" s="247"/>
      <c r="J71" s="229"/>
      <c r="K71" s="229"/>
      <c r="L71" s="229"/>
      <c r="M71" s="246"/>
      <c r="N71" s="229"/>
      <c r="O71" s="229"/>
      <c r="P71" s="229"/>
      <c r="Q71" s="229"/>
      <c r="R71" s="229"/>
      <c r="S71" s="229"/>
      <c r="T71" s="229"/>
      <c r="U71" s="186" t="s">
        <v>421</v>
      </c>
      <c r="V71" s="192"/>
      <c r="W71" s="192"/>
      <c r="X71" s="164" t="s">
        <v>2</v>
      </c>
      <c r="Y71" s="161">
        <v>22</v>
      </c>
      <c r="Z71" s="183">
        <v>4500000</v>
      </c>
      <c r="AA71" s="209"/>
      <c r="AB71" s="197">
        <v>1</v>
      </c>
      <c r="AC71" s="161">
        <f t="shared" ref="AC71" si="7">Y71*Z71*AB71</f>
        <v>99000000</v>
      </c>
      <c r="AD71" s="243"/>
      <c r="AE71" s="228"/>
      <c r="AF71" s="155"/>
      <c r="AG71" s="213"/>
      <c r="AH71" s="214"/>
      <c r="AI71" s="214"/>
      <c r="AJ71" s="214"/>
    </row>
    <row r="72" spans="1:36" s="16" customFormat="1" ht="35.25" customHeight="1">
      <c r="A72" s="230"/>
      <c r="B72" s="235"/>
      <c r="C72" s="235"/>
      <c r="D72" s="238"/>
      <c r="E72" s="238"/>
      <c r="F72" s="238"/>
      <c r="G72" s="238"/>
      <c r="H72" s="243"/>
      <c r="I72" s="247"/>
      <c r="J72" s="229"/>
      <c r="K72" s="229"/>
      <c r="L72" s="229"/>
      <c r="M72" s="246"/>
      <c r="N72" s="229"/>
      <c r="O72" s="229"/>
      <c r="P72" s="229"/>
      <c r="Q72" s="229"/>
      <c r="R72" s="229"/>
      <c r="S72" s="229"/>
      <c r="T72" s="229"/>
      <c r="U72" s="210" t="s">
        <v>429</v>
      </c>
      <c r="V72" s="192">
        <v>20</v>
      </c>
      <c r="W72" s="192">
        <f>J70/V72</f>
        <v>54</v>
      </c>
      <c r="X72" s="164" t="s">
        <v>2</v>
      </c>
      <c r="Y72" s="215">
        <v>16</v>
      </c>
      <c r="Z72" s="215"/>
      <c r="AA72" s="183"/>
      <c r="AB72" s="197"/>
      <c r="AC72" s="161"/>
      <c r="AD72" s="243"/>
      <c r="AE72" s="228"/>
      <c r="AF72" s="155"/>
      <c r="AG72" s="213"/>
      <c r="AH72" s="214"/>
      <c r="AI72" s="214"/>
      <c r="AJ72" s="214"/>
    </row>
    <row r="73" spans="1:36" s="16" customFormat="1" ht="26.25" customHeight="1">
      <c r="A73" s="230"/>
      <c r="B73" s="235"/>
      <c r="C73" s="235"/>
      <c r="D73" s="238"/>
      <c r="E73" s="238"/>
      <c r="F73" s="238"/>
      <c r="G73" s="238"/>
      <c r="H73" s="243"/>
      <c r="I73" s="247"/>
      <c r="J73" s="229"/>
      <c r="K73" s="229"/>
      <c r="L73" s="229"/>
      <c r="M73" s="246"/>
      <c r="N73" s="229"/>
      <c r="O73" s="229"/>
      <c r="P73" s="229"/>
      <c r="Q73" s="229"/>
      <c r="R73" s="229"/>
      <c r="S73" s="229"/>
      <c r="T73" s="229"/>
      <c r="U73" s="186" t="s">
        <v>421</v>
      </c>
      <c r="V73" s="191"/>
      <c r="W73" s="191"/>
      <c r="X73" s="164" t="s">
        <v>2</v>
      </c>
      <c r="Y73" s="161">
        <v>16</v>
      </c>
      <c r="Z73" s="183">
        <v>2500000</v>
      </c>
      <c r="AA73" s="209"/>
      <c r="AB73" s="197">
        <v>0.5</v>
      </c>
      <c r="AC73" s="161">
        <f t="shared" ref="AC73" si="8">Y73*Z73*AB73</f>
        <v>20000000</v>
      </c>
      <c r="AD73" s="243"/>
      <c r="AE73" s="228"/>
      <c r="AF73" s="155"/>
      <c r="AG73" s="213"/>
      <c r="AH73" s="214"/>
      <c r="AI73" s="214"/>
      <c r="AJ73" s="214"/>
    </row>
    <row r="74" spans="1:36" s="16" customFormat="1" ht="31.5" customHeight="1">
      <c r="A74" s="230"/>
      <c r="B74" s="235"/>
      <c r="C74" s="235"/>
      <c r="D74" s="238"/>
      <c r="E74" s="238"/>
      <c r="F74" s="238"/>
      <c r="G74" s="238"/>
      <c r="H74" s="243"/>
      <c r="I74" s="247"/>
      <c r="J74" s="229"/>
      <c r="K74" s="229"/>
      <c r="L74" s="229"/>
      <c r="M74" s="246"/>
      <c r="N74" s="229"/>
      <c r="O74" s="229"/>
      <c r="P74" s="229"/>
      <c r="Q74" s="229"/>
      <c r="R74" s="229"/>
      <c r="S74" s="229"/>
      <c r="T74" s="229"/>
      <c r="U74" s="210" t="s">
        <v>559</v>
      </c>
      <c r="V74" s="191">
        <v>25</v>
      </c>
      <c r="W74" s="191">
        <f>J70/V74</f>
        <v>43.2</v>
      </c>
      <c r="X74" s="164" t="s">
        <v>2</v>
      </c>
      <c r="Y74" s="215">
        <v>7</v>
      </c>
      <c r="Z74" s="215"/>
      <c r="AA74" s="183"/>
      <c r="AB74" s="197"/>
      <c r="AC74" s="161"/>
      <c r="AD74" s="243"/>
      <c r="AE74" s="228"/>
      <c r="AF74" s="155"/>
      <c r="AG74" s="213"/>
      <c r="AH74" s="214"/>
      <c r="AI74" s="214"/>
      <c r="AJ74" s="214"/>
    </row>
    <row r="75" spans="1:36" s="16" customFormat="1" ht="24.75" customHeight="1">
      <c r="A75" s="230"/>
      <c r="B75" s="235"/>
      <c r="C75" s="235"/>
      <c r="D75" s="238"/>
      <c r="E75" s="238"/>
      <c r="F75" s="238"/>
      <c r="G75" s="238"/>
      <c r="H75" s="243"/>
      <c r="I75" s="247"/>
      <c r="J75" s="229"/>
      <c r="K75" s="229"/>
      <c r="L75" s="229"/>
      <c r="M75" s="246"/>
      <c r="N75" s="229"/>
      <c r="O75" s="229"/>
      <c r="P75" s="229"/>
      <c r="Q75" s="229"/>
      <c r="R75" s="229"/>
      <c r="S75" s="229"/>
      <c r="T75" s="229"/>
      <c r="U75" s="186" t="s">
        <v>421</v>
      </c>
      <c r="V75" s="191"/>
      <c r="W75" s="191"/>
      <c r="X75" s="164" t="s">
        <v>2</v>
      </c>
      <c r="Y75" s="161">
        <v>7</v>
      </c>
      <c r="Z75" s="183">
        <v>1000000</v>
      </c>
      <c r="AA75" s="209"/>
      <c r="AB75" s="197">
        <v>0.5</v>
      </c>
      <c r="AC75" s="161">
        <f t="shared" ref="AC75:AC77" si="9">Y75*Z75*AB75</f>
        <v>3500000</v>
      </c>
      <c r="AD75" s="243"/>
      <c r="AE75" s="228"/>
      <c r="AF75" s="155"/>
      <c r="AG75" s="213"/>
      <c r="AH75" s="214"/>
      <c r="AI75" s="214"/>
      <c r="AJ75" s="214"/>
    </row>
    <row r="76" spans="1:36" s="16" customFormat="1" ht="36" customHeight="1">
      <c r="A76" s="230"/>
      <c r="B76" s="235"/>
      <c r="C76" s="235"/>
      <c r="D76" s="238"/>
      <c r="E76" s="238"/>
      <c r="F76" s="238"/>
      <c r="G76" s="238"/>
      <c r="H76" s="243"/>
      <c r="I76" s="247"/>
      <c r="J76" s="229"/>
      <c r="K76" s="229"/>
      <c r="L76" s="229"/>
      <c r="M76" s="246"/>
      <c r="N76" s="229"/>
      <c r="O76" s="229"/>
      <c r="P76" s="229"/>
      <c r="Q76" s="229"/>
      <c r="R76" s="229"/>
      <c r="S76" s="229"/>
      <c r="T76" s="229"/>
      <c r="U76" s="210" t="s">
        <v>430</v>
      </c>
      <c r="V76" s="191">
        <v>25</v>
      </c>
      <c r="W76" s="191">
        <f>J70/V76</f>
        <v>43.2</v>
      </c>
      <c r="X76" s="164" t="s">
        <v>2</v>
      </c>
      <c r="Y76" s="215">
        <v>5</v>
      </c>
      <c r="Z76" s="215"/>
      <c r="AA76" s="183"/>
      <c r="AB76" s="197"/>
      <c r="AC76" s="161"/>
      <c r="AD76" s="243"/>
      <c r="AE76" s="228"/>
      <c r="AF76" s="155"/>
      <c r="AG76" s="213"/>
      <c r="AH76" s="214"/>
      <c r="AI76" s="214"/>
      <c r="AJ76" s="214"/>
    </row>
    <row r="77" spans="1:36" s="16" customFormat="1" ht="21.75" customHeight="1">
      <c r="A77" s="230"/>
      <c r="B77" s="235"/>
      <c r="C77" s="235"/>
      <c r="D77" s="238"/>
      <c r="E77" s="238"/>
      <c r="F77" s="238"/>
      <c r="G77" s="238"/>
      <c r="H77" s="243"/>
      <c r="I77" s="247"/>
      <c r="J77" s="229"/>
      <c r="K77" s="229"/>
      <c r="L77" s="229"/>
      <c r="M77" s="246"/>
      <c r="N77" s="229"/>
      <c r="O77" s="229"/>
      <c r="P77" s="229"/>
      <c r="Q77" s="229"/>
      <c r="R77" s="229"/>
      <c r="S77" s="229"/>
      <c r="T77" s="229"/>
      <c r="U77" s="186" t="s">
        <v>421</v>
      </c>
      <c r="V77" s="191"/>
      <c r="W77" s="191"/>
      <c r="X77" s="164" t="s">
        <v>2</v>
      </c>
      <c r="Y77" s="161">
        <v>5</v>
      </c>
      <c r="Z77" s="183">
        <v>230000</v>
      </c>
      <c r="AA77" s="209"/>
      <c r="AB77" s="197">
        <v>0.5</v>
      </c>
      <c r="AC77" s="161">
        <f t="shared" si="9"/>
        <v>575000</v>
      </c>
      <c r="AD77" s="243"/>
      <c r="AE77" s="228"/>
      <c r="AF77" s="155"/>
      <c r="AG77" s="213"/>
      <c r="AH77" s="214"/>
      <c r="AI77" s="214"/>
      <c r="AJ77" s="214"/>
    </row>
    <row r="78" spans="1:36" s="16" customFormat="1" ht="34.5" customHeight="1">
      <c r="A78" s="230"/>
      <c r="B78" s="235"/>
      <c r="C78" s="235"/>
      <c r="D78" s="238"/>
      <c r="E78" s="238"/>
      <c r="F78" s="238"/>
      <c r="G78" s="238"/>
      <c r="H78" s="243"/>
      <c r="I78" s="247"/>
      <c r="J78" s="229"/>
      <c r="K78" s="229"/>
      <c r="L78" s="229"/>
      <c r="M78" s="246"/>
      <c r="N78" s="229"/>
      <c r="O78" s="229"/>
      <c r="P78" s="229"/>
      <c r="Q78" s="229"/>
      <c r="R78" s="229"/>
      <c r="S78" s="229"/>
      <c r="T78" s="229"/>
      <c r="U78" s="210" t="s">
        <v>431</v>
      </c>
      <c r="V78" s="191"/>
      <c r="W78" s="191"/>
      <c r="X78" s="164" t="s">
        <v>396</v>
      </c>
      <c r="Y78" s="215">
        <v>30</v>
      </c>
      <c r="Z78" s="183"/>
      <c r="AA78" s="183"/>
      <c r="AB78" s="197"/>
      <c r="AC78" s="161"/>
      <c r="AD78" s="243"/>
      <c r="AE78" s="228"/>
      <c r="AF78" s="155"/>
      <c r="AG78" s="213"/>
      <c r="AH78" s="214"/>
      <c r="AI78" s="214"/>
      <c r="AJ78" s="214"/>
    </row>
    <row r="79" spans="1:36" s="16" customFormat="1" ht="23.25" customHeight="1">
      <c r="A79" s="230"/>
      <c r="B79" s="235"/>
      <c r="C79" s="235"/>
      <c r="D79" s="238"/>
      <c r="E79" s="238"/>
      <c r="F79" s="238"/>
      <c r="G79" s="238"/>
      <c r="H79" s="243"/>
      <c r="I79" s="247"/>
      <c r="J79" s="229"/>
      <c r="K79" s="229"/>
      <c r="L79" s="229"/>
      <c r="M79" s="246"/>
      <c r="N79" s="229"/>
      <c r="O79" s="229"/>
      <c r="P79" s="229"/>
      <c r="Q79" s="229"/>
      <c r="R79" s="229"/>
      <c r="S79" s="229"/>
      <c r="T79" s="229"/>
      <c r="U79" s="186" t="s">
        <v>421</v>
      </c>
      <c r="V79" s="191">
        <v>4</v>
      </c>
      <c r="W79" s="191">
        <f>J70/V79</f>
        <v>270</v>
      </c>
      <c r="X79" s="164" t="s">
        <v>396</v>
      </c>
      <c r="Y79" s="215">
        <v>30</v>
      </c>
      <c r="Z79" s="183">
        <v>150000</v>
      </c>
      <c r="AA79" s="183"/>
      <c r="AB79" s="197">
        <v>0.5</v>
      </c>
      <c r="AC79" s="161">
        <f>Y79*Z79*AB79</f>
        <v>2250000</v>
      </c>
      <c r="AD79" s="243"/>
      <c r="AE79" s="228"/>
      <c r="AF79" s="155"/>
      <c r="AG79" s="213"/>
      <c r="AH79" s="214"/>
      <c r="AI79" s="214"/>
      <c r="AJ79" s="214"/>
    </row>
    <row r="80" spans="1:36" s="16" customFormat="1" ht="33.75" customHeight="1">
      <c r="A80" s="230"/>
      <c r="B80" s="235"/>
      <c r="C80" s="235"/>
      <c r="D80" s="238"/>
      <c r="E80" s="238"/>
      <c r="F80" s="238"/>
      <c r="G80" s="238"/>
      <c r="H80" s="243"/>
      <c r="I80" s="247"/>
      <c r="J80" s="229"/>
      <c r="K80" s="229"/>
      <c r="L80" s="229"/>
      <c r="M80" s="246"/>
      <c r="N80" s="229"/>
      <c r="O80" s="229"/>
      <c r="P80" s="229"/>
      <c r="Q80" s="229"/>
      <c r="R80" s="229"/>
      <c r="S80" s="229"/>
      <c r="T80" s="229"/>
      <c r="U80" s="210" t="s">
        <v>432</v>
      </c>
      <c r="V80" s="191"/>
      <c r="W80" s="191"/>
      <c r="X80" s="164" t="s">
        <v>396</v>
      </c>
      <c r="Y80" s="214"/>
      <c r="Z80" s="214"/>
      <c r="AA80" s="214"/>
      <c r="AB80" s="214"/>
      <c r="AC80" s="214"/>
      <c r="AD80" s="243"/>
      <c r="AE80" s="228"/>
      <c r="AF80" s="155"/>
      <c r="AG80" s="213"/>
      <c r="AH80" s="214"/>
      <c r="AI80" s="214"/>
      <c r="AJ80" s="214"/>
    </row>
    <row r="81" spans="1:36" s="16" customFormat="1" ht="20.25" customHeight="1">
      <c r="A81" s="230"/>
      <c r="B81" s="235"/>
      <c r="C81" s="235"/>
      <c r="D81" s="238"/>
      <c r="E81" s="238"/>
      <c r="F81" s="238"/>
      <c r="G81" s="238"/>
      <c r="H81" s="243"/>
      <c r="I81" s="247"/>
      <c r="J81" s="229"/>
      <c r="K81" s="229"/>
      <c r="L81" s="229"/>
      <c r="M81" s="246"/>
      <c r="N81" s="229"/>
      <c r="O81" s="229"/>
      <c r="P81" s="229"/>
      <c r="Q81" s="229"/>
      <c r="R81" s="229"/>
      <c r="S81" s="229"/>
      <c r="T81" s="229"/>
      <c r="U81" s="186" t="s">
        <v>421</v>
      </c>
      <c r="V81" s="191"/>
      <c r="W81" s="191"/>
      <c r="X81" s="164" t="s">
        <v>396</v>
      </c>
      <c r="Y81" s="215">
        <v>60</v>
      </c>
      <c r="Z81" s="183">
        <v>200000</v>
      </c>
      <c r="AA81" s="183"/>
      <c r="AB81" s="197">
        <v>0.5</v>
      </c>
      <c r="AC81" s="161">
        <f>Y81*Z81*AB81</f>
        <v>6000000</v>
      </c>
      <c r="AD81" s="243"/>
      <c r="AE81" s="228"/>
      <c r="AF81" s="155"/>
      <c r="AG81" s="213"/>
      <c r="AH81" s="214"/>
      <c r="AI81" s="214"/>
      <c r="AJ81" s="214"/>
    </row>
    <row r="82" spans="1:36" s="16" customFormat="1" ht="51" customHeight="1">
      <c r="A82" s="230"/>
      <c r="B82" s="235"/>
      <c r="C82" s="235"/>
      <c r="D82" s="238"/>
      <c r="E82" s="238"/>
      <c r="F82" s="238"/>
      <c r="G82" s="238"/>
      <c r="H82" s="243"/>
      <c r="I82" s="247"/>
      <c r="J82" s="229"/>
      <c r="K82" s="229"/>
      <c r="L82" s="229"/>
      <c r="M82" s="246"/>
      <c r="N82" s="229"/>
      <c r="O82" s="229"/>
      <c r="P82" s="229"/>
      <c r="Q82" s="229"/>
      <c r="R82" s="229"/>
      <c r="S82" s="229"/>
      <c r="T82" s="229"/>
      <c r="U82" s="173" t="s">
        <v>433</v>
      </c>
      <c r="V82" s="191"/>
      <c r="W82" s="191"/>
      <c r="X82" s="164" t="s">
        <v>0</v>
      </c>
      <c r="Y82" s="192">
        <v>64</v>
      </c>
      <c r="Z82" s="192"/>
      <c r="AA82" s="209"/>
      <c r="AB82" s="197"/>
      <c r="AC82" s="161">
        <f>Y82*Z82*AB82</f>
        <v>0</v>
      </c>
      <c r="AD82" s="243"/>
      <c r="AE82" s="228"/>
      <c r="AF82" s="155"/>
      <c r="AG82" s="213"/>
      <c r="AH82" s="214"/>
      <c r="AI82" s="214"/>
      <c r="AJ82" s="214"/>
    </row>
    <row r="83" spans="1:36" s="16" customFormat="1" ht="21" customHeight="1">
      <c r="A83" s="230"/>
      <c r="B83" s="235"/>
      <c r="C83" s="235"/>
      <c r="D83" s="238"/>
      <c r="E83" s="238"/>
      <c r="F83" s="238"/>
      <c r="G83" s="238"/>
      <c r="H83" s="243"/>
      <c r="I83" s="247"/>
      <c r="J83" s="229"/>
      <c r="K83" s="229"/>
      <c r="L83" s="229"/>
      <c r="M83" s="246"/>
      <c r="N83" s="229"/>
      <c r="O83" s="229"/>
      <c r="P83" s="229"/>
      <c r="Q83" s="229"/>
      <c r="R83" s="229"/>
      <c r="S83" s="229"/>
      <c r="T83" s="229"/>
      <c r="U83" s="173" t="s">
        <v>434</v>
      </c>
      <c r="V83" s="191"/>
      <c r="W83" s="191"/>
      <c r="X83" s="164" t="s">
        <v>689</v>
      </c>
      <c r="Y83" s="192">
        <v>1.4</v>
      </c>
      <c r="Z83" s="192"/>
      <c r="AA83" s="209"/>
      <c r="AB83" s="164"/>
      <c r="AC83" s="161">
        <f t="shared" ref="AC83:AC85" si="10">Y83*Z83*AB83/100</f>
        <v>0</v>
      </c>
      <c r="AD83" s="243"/>
      <c r="AE83" s="228"/>
      <c r="AF83" s="155"/>
      <c r="AG83" s="213"/>
      <c r="AH83" s="214"/>
      <c r="AI83" s="214"/>
      <c r="AJ83" s="214"/>
    </row>
    <row r="84" spans="1:36" s="16" customFormat="1" ht="21" customHeight="1">
      <c r="A84" s="230"/>
      <c r="B84" s="235"/>
      <c r="C84" s="235"/>
      <c r="D84" s="238"/>
      <c r="E84" s="238"/>
      <c r="F84" s="238"/>
      <c r="G84" s="238"/>
      <c r="H84" s="243"/>
      <c r="I84" s="247"/>
      <c r="J84" s="229"/>
      <c r="K84" s="229"/>
      <c r="L84" s="229"/>
      <c r="M84" s="246"/>
      <c r="N84" s="229"/>
      <c r="O84" s="229"/>
      <c r="P84" s="229"/>
      <c r="Q84" s="229"/>
      <c r="R84" s="229"/>
      <c r="S84" s="229"/>
      <c r="T84" s="229"/>
      <c r="U84" s="179" t="s">
        <v>435</v>
      </c>
      <c r="V84" s="191"/>
      <c r="W84" s="191"/>
      <c r="X84" s="164" t="s">
        <v>0</v>
      </c>
      <c r="Y84" s="192">
        <v>128</v>
      </c>
      <c r="Z84" s="192"/>
      <c r="AA84" s="209"/>
      <c r="AB84" s="164"/>
      <c r="AC84" s="161"/>
      <c r="AD84" s="243"/>
      <c r="AE84" s="228"/>
      <c r="AF84" s="155"/>
      <c r="AG84" s="213"/>
      <c r="AH84" s="214"/>
      <c r="AI84" s="214"/>
      <c r="AJ84" s="214"/>
    </row>
    <row r="85" spans="1:36" s="16" customFormat="1" ht="23.25" customHeight="1">
      <c r="A85" s="230"/>
      <c r="B85" s="235"/>
      <c r="C85" s="235"/>
      <c r="D85" s="238"/>
      <c r="E85" s="238"/>
      <c r="F85" s="238"/>
      <c r="G85" s="238"/>
      <c r="H85" s="243"/>
      <c r="I85" s="247"/>
      <c r="J85" s="229"/>
      <c r="K85" s="229"/>
      <c r="L85" s="229"/>
      <c r="M85" s="246"/>
      <c r="N85" s="229"/>
      <c r="O85" s="229"/>
      <c r="P85" s="229"/>
      <c r="Q85" s="229"/>
      <c r="R85" s="229"/>
      <c r="S85" s="229"/>
      <c r="T85" s="229"/>
      <c r="U85" s="173" t="s">
        <v>436</v>
      </c>
      <c r="V85" s="191"/>
      <c r="W85" s="191"/>
      <c r="X85" s="164" t="s">
        <v>399</v>
      </c>
      <c r="Y85" s="192">
        <v>1</v>
      </c>
      <c r="Z85" s="192"/>
      <c r="AA85" s="183"/>
      <c r="AB85" s="164"/>
      <c r="AC85" s="161">
        <f t="shared" si="10"/>
        <v>0</v>
      </c>
      <c r="AD85" s="243"/>
      <c r="AE85" s="228"/>
      <c r="AF85" s="155"/>
      <c r="AG85" s="213"/>
      <c r="AH85" s="214"/>
      <c r="AI85" s="214"/>
      <c r="AJ85" s="214"/>
    </row>
    <row r="86" spans="1:36" s="16" customFormat="1" ht="23.25" customHeight="1">
      <c r="A86" s="230">
        <v>15</v>
      </c>
      <c r="B86" s="235" t="s">
        <v>408</v>
      </c>
      <c r="C86" s="235" t="s">
        <v>411</v>
      </c>
      <c r="D86" s="238">
        <v>64</v>
      </c>
      <c r="E86" s="238">
        <v>453</v>
      </c>
      <c r="F86" s="238">
        <v>745.3</v>
      </c>
      <c r="G86" s="238" t="s">
        <v>28</v>
      </c>
      <c r="H86" s="243">
        <v>720</v>
      </c>
      <c r="I86" s="247">
        <f>F86-H86</f>
        <v>25.299999999999955</v>
      </c>
      <c r="J86" s="243">
        <v>720</v>
      </c>
      <c r="K86" s="243">
        <v>1872</v>
      </c>
      <c r="L86" s="243"/>
      <c r="M86" s="244">
        <f>J86/K86*100</f>
        <v>38.461538461538467</v>
      </c>
      <c r="N86" s="243">
        <v>6</v>
      </c>
      <c r="O86" s="243">
        <v>3</v>
      </c>
      <c r="P86" s="243">
        <v>80000</v>
      </c>
      <c r="Q86" s="243">
        <f>P86*J86</f>
        <v>57600000</v>
      </c>
      <c r="R86" s="243">
        <f>Q86*3</f>
        <v>172800000</v>
      </c>
      <c r="S86" s="243">
        <f>N86*O86*S6</f>
        <v>9180000</v>
      </c>
      <c r="T86" s="243">
        <f>SUM(Q86:S100)</f>
        <v>239580000</v>
      </c>
      <c r="U86" s="210" t="s">
        <v>639</v>
      </c>
      <c r="V86" s="191">
        <v>25</v>
      </c>
      <c r="W86" s="191">
        <f>J86/V86</f>
        <v>28.8</v>
      </c>
      <c r="X86" s="164" t="s">
        <v>2</v>
      </c>
      <c r="Y86" s="161">
        <v>10</v>
      </c>
      <c r="Z86" s="183"/>
      <c r="AA86" s="209"/>
      <c r="AB86" s="164"/>
      <c r="AC86" s="161"/>
      <c r="AD86" s="243">
        <f>SUM(AC86:AC100)</f>
        <v>56950000</v>
      </c>
      <c r="AE86" s="228">
        <f>T86+AD86</f>
        <v>296530000</v>
      </c>
      <c r="AF86" s="155" t="s">
        <v>395</v>
      </c>
      <c r="AG86" s="213"/>
      <c r="AH86" s="214"/>
      <c r="AI86" s="214"/>
      <c r="AJ86" s="214"/>
    </row>
    <row r="87" spans="1:36" s="16" customFormat="1" ht="23.25" customHeight="1">
      <c r="A87" s="230"/>
      <c r="B87" s="235"/>
      <c r="C87" s="235"/>
      <c r="D87" s="238"/>
      <c r="E87" s="238"/>
      <c r="F87" s="238"/>
      <c r="G87" s="238"/>
      <c r="H87" s="243"/>
      <c r="I87" s="247"/>
      <c r="J87" s="243"/>
      <c r="K87" s="243"/>
      <c r="L87" s="243"/>
      <c r="M87" s="244"/>
      <c r="N87" s="243"/>
      <c r="O87" s="243"/>
      <c r="P87" s="243"/>
      <c r="Q87" s="243"/>
      <c r="R87" s="243"/>
      <c r="S87" s="243"/>
      <c r="T87" s="243"/>
      <c r="U87" s="186" t="s">
        <v>421</v>
      </c>
      <c r="V87" s="191"/>
      <c r="W87" s="191"/>
      <c r="X87" s="164" t="s">
        <v>2</v>
      </c>
      <c r="Y87" s="161">
        <v>10</v>
      </c>
      <c r="Z87" s="183">
        <v>4500000</v>
      </c>
      <c r="AA87" s="208"/>
      <c r="AB87" s="197">
        <v>1</v>
      </c>
      <c r="AC87" s="161">
        <f>Y87*Z87*AB87</f>
        <v>45000000</v>
      </c>
      <c r="AD87" s="243"/>
      <c r="AE87" s="228"/>
      <c r="AF87" s="155"/>
      <c r="AG87" s="213"/>
      <c r="AH87" s="214"/>
      <c r="AI87" s="214"/>
      <c r="AJ87" s="214"/>
    </row>
    <row r="88" spans="1:36" s="16" customFormat="1" ht="23.25" customHeight="1">
      <c r="A88" s="230"/>
      <c r="B88" s="235"/>
      <c r="C88" s="235"/>
      <c r="D88" s="238"/>
      <c r="E88" s="238"/>
      <c r="F88" s="238"/>
      <c r="G88" s="238"/>
      <c r="H88" s="243"/>
      <c r="I88" s="247"/>
      <c r="J88" s="243"/>
      <c r="K88" s="243"/>
      <c r="L88" s="243"/>
      <c r="M88" s="244"/>
      <c r="N88" s="243"/>
      <c r="O88" s="243"/>
      <c r="P88" s="243"/>
      <c r="Q88" s="243"/>
      <c r="R88" s="243"/>
      <c r="S88" s="243"/>
      <c r="T88" s="243"/>
      <c r="U88" s="210" t="s">
        <v>437</v>
      </c>
      <c r="V88" s="191"/>
      <c r="W88" s="191"/>
      <c r="X88" s="164" t="s">
        <v>396</v>
      </c>
      <c r="Y88" s="161">
        <v>50</v>
      </c>
      <c r="Z88" s="183"/>
      <c r="AA88" s="209"/>
      <c r="AB88" s="164"/>
      <c r="AC88" s="161"/>
      <c r="AD88" s="243"/>
      <c r="AE88" s="228"/>
      <c r="AF88" s="155"/>
      <c r="AG88" s="213"/>
      <c r="AH88" s="214"/>
      <c r="AI88" s="214"/>
      <c r="AJ88" s="214"/>
    </row>
    <row r="89" spans="1:36" s="16" customFormat="1" ht="23.25" customHeight="1">
      <c r="A89" s="230"/>
      <c r="B89" s="235"/>
      <c r="C89" s="235"/>
      <c r="D89" s="238"/>
      <c r="E89" s="238"/>
      <c r="F89" s="238"/>
      <c r="G89" s="238"/>
      <c r="H89" s="243"/>
      <c r="I89" s="247"/>
      <c r="J89" s="243"/>
      <c r="K89" s="243"/>
      <c r="L89" s="243"/>
      <c r="M89" s="244"/>
      <c r="N89" s="243"/>
      <c r="O89" s="243"/>
      <c r="P89" s="243"/>
      <c r="Q89" s="243"/>
      <c r="R89" s="243"/>
      <c r="S89" s="243"/>
      <c r="T89" s="243"/>
      <c r="U89" s="186" t="s">
        <v>421</v>
      </c>
      <c r="V89" s="191"/>
      <c r="W89" s="191"/>
      <c r="X89" s="164" t="s">
        <v>2</v>
      </c>
      <c r="Y89" s="161">
        <v>50</v>
      </c>
      <c r="Z89" s="183">
        <v>200000</v>
      </c>
      <c r="AA89" s="209"/>
      <c r="AB89" s="197">
        <v>0.5</v>
      </c>
      <c r="AC89" s="161">
        <f>Y89*Z89*AB89</f>
        <v>5000000</v>
      </c>
      <c r="AD89" s="243"/>
      <c r="AE89" s="228"/>
      <c r="AF89" s="155"/>
      <c r="AG89" s="213"/>
      <c r="AH89" s="214"/>
      <c r="AI89" s="214"/>
      <c r="AJ89" s="214"/>
    </row>
    <row r="90" spans="1:36" s="16" customFormat="1" ht="23.25" customHeight="1">
      <c r="A90" s="230"/>
      <c r="B90" s="235"/>
      <c r="C90" s="235"/>
      <c r="D90" s="238"/>
      <c r="E90" s="238"/>
      <c r="F90" s="238"/>
      <c r="G90" s="238"/>
      <c r="H90" s="243"/>
      <c r="I90" s="247"/>
      <c r="J90" s="243"/>
      <c r="K90" s="243"/>
      <c r="L90" s="243"/>
      <c r="M90" s="244"/>
      <c r="N90" s="243"/>
      <c r="O90" s="243"/>
      <c r="P90" s="243"/>
      <c r="Q90" s="243"/>
      <c r="R90" s="243"/>
      <c r="S90" s="243"/>
      <c r="T90" s="243"/>
      <c r="U90" s="210" t="s">
        <v>438</v>
      </c>
      <c r="V90" s="191">
        <v>4</v>
      </c>
      <c r="W90" s="191">
        <f>J86/V90</f>
        <v>180</v>
      </c>
      <c r="X90" s="164" t="s">
        <v>396</v>
      </c>
      <c r="Y90" s="161">
        <v>30</v>
      </c>
      <c r="Z90" s="183"/>
      <c r="AA90" s="209"/>
      <c r="AB90" s="164"/>
      <c r="AC90" s="161"/>
      <c r="AD90" s="243"/>
      <c r="AE90" s="228"/>
      <c r="AF90" s="155"/>
      <c r="AG90" s="213"/>
      <c r="AH90" s="214"/>
      <c r="AI90" s="214"/>
      <c r="AJ90" s="214"/>
    </row>
    <row r="91" spans="1:36" s="16" customFormat="1" ht="23.25" customHeight="1">
      <c r="A91" s="230"/>
      <c r="B91" s="235"/>
      <c r="C91" s="235"/>
      <c r="D91" s="238"/>
      <c r="E91" s="238"/>
      <c r="F91" s="238"/>
      <c r="G91" s="238"/>
      <c r="H91" s="243"/>
      <c r="I91" s="247"/>
      <c r="J91" s="243"/>
      <c r="K91" s="243"/>
      <c r="L91" s="243"/>
      <c r="M91" s="244"/>
      <c r="N91" s="243"/>
      <c r="O91" s="243"/>
      <c r="P91" s="243"/>
      <c r="Q91" s="243"/>
      <c r="R91" s="243"/>
      <c r="S91" s="243"/>
      <c r="T91" s="243"/>
      <c r="U91" s="186" t="s">
        <v>421</v>
      </c>
      <c r="V91" s="191"/>
      <c r="W91" s="191"/>
      <c r="X91" s="164" t="s">
        <v>2</v>
      </c>
      <c r="Y91" s="161">
        <v>30</v>
      </c>
      <c r="Z91" s="183">
        <v>150000</v>
      </c>
      <c r="AA91" s="209"/>
      <c r="AB91" s="197">
        <v>0.5</v>
      </c>
      <c r="AC91" s="161">
        <f>Y91*Z91*AB91</f>
        <v>2250000</v>
      </c>
      <c r="AD91" s="243"/>
      <c r="AE91" s="228"/>
      <c r="AF91" s="155"/>
      <c r="AG91" s="213"/>
      <c r="AH91" s="214"/>
      <c r="AI91" s="214"/>
      <c r="AJ91" s="214"/>
    </row>
    <row r="92" spans="1:36" s="16" customFormat="1" ht="23.25" customHeight="1">
      <c r="A92" s="230"/>
      <c r="B92" s="235"/>
      <c r="C92" s="235"/>
      <c r="D92" s="238"/>
      <c r="E92" s="238"/>
      <c r="F92" s="238"/>
      <c r="G92" s="238"/>
      <c r="H92" s="243"/>
      <c r="I92" s="247"/>
      <c r="J92" s="243"/>
      <c r="K92" s="243"/>
      <c r="L92" s="243"/>
      <c r="M92" s="244"/>
      <c r="N92" s="243"/>
      <c r="O92" s="243"/>
      <c r="P92" s="243"/>
      <c r="Q92" s="243"/>
      <c r="R92" s="243"/>
      <c r="S92" s="243"/>
      <c r="T92" s="243"/>
      <c r="U92" s="210" t="s">
        <v>439</v>
      </c>
      <c r="V92" s="191">
        <f>10000/2600</f>
        <v>3.8461538461538463</v>
      </c>
      <c r="W92" s="191">
        <f>J86/V92</f>
        <v>187.2</v>
      </c>
      <c r="X92" s="164" t="s">
        <v>2</v>
      </c>
      <c r="Y92" s="161">
        <v>5</v>
      </c>
      <c r="Z92" s="172"/>
      <c r="AA92" s="209"/>
      <c r="AB92" s="164"/>
      <c r="AC92" s="161"/>
      <c r="AD92" s="243"/>
      <c r="AE92" s="228"/>
      <c r="AF92" s="155"/>
      <c r="AG92" s="213"/>
      <c r="AH92" s="214"/>
      <c r="AI92" s="214"/>
      <c r="AJ92" s="214"/>
    </row>
    <row r="93" spans="1:36" s="16" customFormat="1" ht="23.25" customHeight="1">
      <c r="A93" s="230"/>
      <c r="B93" s="235"/>
      <c r="C93" s="235"/>
      <c r="D93" s="238"/>
      <c r="E93" s="238"/>
      <c r="F93" s="238"/>
      <c r="G93" s="238"/>
      <c r="H93" s="243"/>
      <c r="I93" s="247"/>
      <c r="J93" s="243"/>
      <c r="K93" s="243"/>
      <c r="L93" s="243"/>
      <c r="M93" s="244"/>
      <c r="N93" s="243"/>
      <c r="O93" s="243"/>
      <c r="P93" s="243"/>
      <c r="Q93" s="243"/>
      <c r="R93" s="243"/>
      <c r="S93" s="243"/>
      <c r="T93" s="243"/>
      <c r="U93" s="186" t="s">
        <v>421</v>
      </c>
      <c r="V93" s="191"/>
      <c r="W93" s="191"/>
      <c r="X93" s="164" t="s">
        <v>2</v>
      </c>
      <c r="Y93" s="161">
        <v>5</v>
      </c>
      <c r="Z93" s="172">
        <v>200000</v>
      </c>
      <c r="AA93" s="209"/>
      <c r="AB93" s="197">
        <v>0.5</v>
      </c>
      <c r="AC93" s="161">
        <f>Y93*Z93*AB93</f>
        <v>500000</v>
      </c>
      <c r="AD93" s="243"/>
      <c r="AE93" s="228"/>
      <c r="AF93" s="155"/>
      <c r="AG93" s="213"/>
      <c r="AH93" s="214"/>
      <c r="AI93" s="214"/>
      <c r="AJ93" s="214"/>
    </row>
    <row r="94" spans="1:36" s="16" customFormat="1" ht="23.25" customHeight="1">
      <c r="A94" s="230"/>
      <c r="B94" s="235"/>
      <c r="C94" s="235"/>
      <c r="D94" s="238"/>
      <c r="E94" s="238"/>
      <c r="F94" s="238"/>
      <c r="G94" s="238"/>
      <c r="H94" s="243"/>
      <c r="I94" s="247"/>
      <c r="J94" s="243"/>
      <c r="K94" s="243"/>
      <c r="L94" s="243"/>
      <c r="M94" s="244"/>
      <c r="N94" s="243"/>
      <c r="O94" s="243"/>
      <c r="P94" s="243"/>
      <c r="Q94" s="243"/>
      <c r="R94" s="243"/>
      <c r="S94" s="243"/>
      <c r="T94" s="243"/>
      <c r="U94" s="210" t="s">
        <v>440</v>
      </c>
      <c r="V94" s="191">
        <f>10000/1500</f>
        <v>6.666666666666667</v>
      </c>
      <c r="W94" s="191">
        <f>J86/V94</f>
        <v>108</v>
      </c>
      <c r="X94" s="164" t="s">
        <v>2</v>
      </c>
      <c r="Y94" s="161">
        <v>2</v>
      </c>
      <c r="Z94" s="183"/>
      <c r="AA94" s="209"/>
      <c r="AB94" s="197"/>
      <c r="AC94" s="161"/>
      <c r="AD94" s="243"/>
      <c r="AE94" s="228"/>
      <c r="AF94" s="155"/>
      <c r="AG94" s="213"/>
      <c r="AH94" s="214"/>
      <c r="AI94" s="214"/>
      <c r="AJ94" s="214"/>
    </row>
    <row r="95" spans="1:36" s="16" customFormat="1" ht="23.25" customHeight="1">
      <c r="A95" s="230"/>
      <c r="B95" s="235"/>
      <c r="C95" s="235"/>
      <c r="D95" s="238"/>
      <c r="E95" s="238"/>
      <c r="F95" s="238"/>
      <c r="G95" s="238"/>
      <c r="H95" s="243"/>
      <c r="I95" s="247"/>
      <c r="J95" s="243"/>
      <c r="K95" s="243"/>
      <c r="L95" s="243"/>
      <c r="M95" s="244"/>
      <c r="N95" s="243"/>
      <c r="O95" s="243"/>
      <c r="P95" s="243"/>
      <c r="Q95" s="243"/>
      <c r="R95" s="243"/>
      <c r="S95" s="243"/>
      <c r="T95" s="243"/>
      <c r="U95" s="186" t="s">
        <v>421</v>
      </c>
      <c r="V95" s="191"/>
      <c r="W95" s="191"/>
      <c r="X95" s="164" t="s">
        <v>2</v>
      </c>
      <c r="Y95" s="161">
        <v>2</v>
      </c>
      <c r="Z95" s="183">
        <v>450000</v>
      </c>
      <c r="AA95" s="209"/>
      <c r="AB95" s="197">
        <v>0.5</v>
      </c>
      <c r="AC95" s="161">
        <f>Y95*Z95*AB95</f>
        <v>450000</v>
      </c>
      <c r="AD95" s="243"/>
      <c r="AE95" s="228"/>
      <c r="AF95" s="155"/>
      <c r="AG95" s="213"/>
      <c r="AH95" s="214"/>
      <c r="AI95" s="214"/>
      <c r="AJ95" s="214"/>
    </row>
    <row r="96" spans="1:36" s="16" customFormat="1" ht="23.25" customHeight="1">
      <c r="A96" s="230"/>
      <c r="B96" s="235"/>
      <c r="C96" s="235"/>
      <c r="D96" s="238"/>
      <c r="E96" s="238"/>
      <c r="F96" s="238"/>
      <c r="G96" s="238"/>
      <c r="H96" s="243"/>
      <c r="I96" s="247"/>
      <c r="J96" s="243"/>
      <c r="K96" s="243"/>
      <c r="L96" s="243"/>
      <c r="M96" s="244"/>
      <c r="N96" s="243"/>
      <c r="O96" s="243"/>
      <c r="P96" s="243"/>
      <c r="Q96" s="243"/>
      <c r="R96" s="243"/>
      <c r="S96" s="243"/>
      <c r="T96" s="243"/>
      <c r="U96" s="210" t="s">
        <v>441</v>
      </c>
      <c r="V96" s="191">
        <v>5</v>
      </c>
      <c r="W96" s="191">
        <f>J86/V96</f>
        <v>144</v>
      </c>
      <c r="X96" s="164" t="s">
        <v>2</v>
      </c>
      <c r="Y96" s="161">
        <v>10</v>
      </c>
      <c r="Z96" s="183"/>
      <c r="AA96" s="209"/>
      <c r="AB96" s="164"/>
      <c r="AC96" s="161"/>
      <c r="AD96" s="243"/>
      <c r="AE96" s="228"/>
      <c r="AF96" s="155"/>
      <c r="AG96" s="213"/>
      <c r="AH96" s="214"/>
      <c r="AI96" s="214"/>
      <c r="AJ96" s="214"/>
    </row>
    <row r="97" spans="1:36" s="16" customFormat="1" ht="23.25" customHeight="1">
      <c r="A97" s="230"/>
      <c r="B97" s="235"/>
      <c r="C97" s="235"/>
      <c r="D97" s="238"/>
      <c r="E97" s="238"/>
      <c r="F97" s="238"/>
      <c r="G97" s="238"/>
      <c r="H97" s="243"/>
      <c r="I97" s="247"/>
      <c r="J97" s="243"/>
      <c r="K97" s="243"/>
      <c r="L97" s="243"/>
      <c r="M97" s="244"/>
      <c r="N97" s="243"/>
      <c r="O97" s="243"/>
      <c r="P97" s="243"/>
      <c r="Q97" s="243"/>
      <c r="R97" s="243"/>
      <c r="S97" s="243"/>
      <c r="T97" s="243"/>
      <c r="U97" s="186" t="s">
        <v>421</v>
      </c>
      <c r="V97" s="191"/>
      <c r="W97" s="191"/>
      <c r="X97" s="164" t="s">
        <v>2</v>
      </c>
      <c r="Y97" s="161">
        <v>10</v>
      </c>
      <c r="Z97" s="183">
        <v>750000</v>
      </c>
      <c r="AA97" s="209"/>
      <c r="AB97" s="197">
        <v>0.5</v>
      </c>
      <c r="AC97" s="161">
        <f>Y97*Z97*AB97</f>
        <v>3750000</v>
      </c>
      <c r="AD97" s="243"/>
      <c r="AE97" s="228"/>
      <c r="AF97" s="155"/>
      <c r="AG97" s="213"/>
      <c r="AH97" s="214"/>
      <c r="AI97" s="214"/>
      <c r="AJ97" s="214"/>
    </row>
    <row r="98" spans="1:36" s="16" customFormat="1" ht="33" customHeight="1">
      <c r="A98" s="230"/>
      <c r="B98" s="235"/>
      <c r="C98" s="235"/>
      <c r="D98" s="238"/>
      <c r="E98" s="238"/>
      <c r="F98" s="238"/>
      <c r="G98" s="238"/>
      <c r="H98" s="243"/>
      <c r="I98" s="247"/>
      <c r="J98" s="243"/>
      <c r="K98" s="243"/>
      <c r="L98" s="243"/>
      <c r="M98" s="244"/>
      <c r="N98" s="243"/>
      <c r="O98" s="243"/>
      <c r="P98" s="243"/>
      <c r="Q98" s="243"/>
      <c r="R98" s="243"/>
      <c r="S98" s="243"/>
      <c r="T98" s="243"/>
      <c r="U98" s="173" t="s">
        <v>442</v>
      </c>
      <c r="V98" s="191"/>
      <c r="W98" s="191"/>
      <c r="X98" s="164" t="s">
        <v>0</v>
      </c>
      <c r="Y98" s="161">
        <v>41</v>
      </c>
      <c r="Z98" s="209"/>
      <c r="AA98" s="209"/>
      <c r="AB98" s="197">
        <v>0</v>
      </c>
      <c r="AC98" s="161">
        <f>Y98*Z98*AB98</f>
        <v>0</v>
      </c>
      <c r="AD98" s="243"/>
      <c r="AE98" s="228"/>
      <c r="AF98" s="155"/>
      <c r="AG98" s="213"/>
      <c r="AH98" s="214"/>
      <c r="AI98" s="214"/>
      <c r="AJ98" s="214"/>
    </row>
    <row r="99" spans="1:36" s="16" customFormat="1" ht="24.75" customHeight="1">
      <c r="A99" s="230"/>
      <c r="B99" s="235"/>
      <c r="C99" s="235"/>
      <c r="D99" s="238"/>
      <c r="E99" s="238"/>
      <c r="F99" s="238"/>
      <c r="G99" s="238"/>
      <c r="H99" s="243"/>
      <c r="I99" s="247"/>
      <c r="J99" s="243"/>
      <c r="K99" s="243"/>
      <c r="L99" s="243"/>
      <c r="M99" s="244"/>
      <c r="N99" s="243"/>
      <c r="O99" s="243"/>
      <c r="P99" s="243"/>
      <c r="Q99" s="243"/>
      <c r="R99" s="243"/>
      <c r="S99" s="243"/>
      <c r="T99" s="243"/>
      <c r="U99" s="173" t="s">
        <v>443</v>
      </c>
      <c r="V99" s="191"/>
      <c r="W99" s="191"/>
      <c r="X99" s="164" t="s">
        <v>399</v>
      </c>
      <c r="Y99" s="161">
        <v>1</v>
      </c>
      <c r="Z99" s="183"/>
      <c r="AA99" s="209"/>
      <c r="AB99" s="197">
        <v>0</v>
      </c>
      <c r="AC99" s="161">
        <f>Y99*Z99*AB99</f>
        <v>0</v>
      </c>
      <c r="AD99" s="243"/>
      <c r="AE99" s="228"/>
      <c r="AF99" s="155"/>
      <c r="AG99" s="213"/>
      <c r="AH99" s="214"/>
      <c r="AI99" s="214"/>
      <c r="AJ99" s="214"/>
    </row>
    <row r="100" spans="1:36" s="16" customFormat="1" ht="33" customHeight="1">
      <c r="A100" s="230"/>
      <c r="B100" s="235"/>
      <c r="C100" s="235"/>
      <c r="D100" s="238"/>
      <c r="E100" s="238"/>
      <c r="F100" s="238"/>
      <c r="G100" s="238"/>
      <c r="H100" s="243"/>
      <c r="I100" s="247"/>
      <c r="J100" s="243"/>
      <c r="K100" s="243"/>
      <c r="L100" s="243"/>
      <c r="M100" s="244"/>
      <c r="N100" s="243"/>
      <c r="O100" s="243"/>
      <c r="P100" s="243"/>
      <c r="Q100" s="243"/>
      <c r="R100" s="243"/>
      <c r="S100" s="243"/>
      <c r="T100" s="243"/>
      <c r="U100" s="173" t="s">
        <v>444</v>
      </c>
      <c r="V100" s="191"/>
      <c r="W100" s="191"/>
      <c r="X100" s="164" t="s">
        <v>6</v>
      </c>
      <c r="Y100" s="192">
        <v>6</v>
      </c>
      <c r="Z100" s="209"/>
      <c r="AA100" s="209"/>
      <c r="AB100" s="197">
        <v>0</v>
      </c>
      <c r="AC100" s="161">
        <f>Y100*Z100*AB100</f>
        <v>0</v>
      </c>
      <c r="AD100" s="243"/>
      <c r="AE100" s="228"/>
      <c r="AF100" s="155"/>
      <c r="AG100" s="213"/>
      <c r="AH100" s="214"/>
      <c r="AI100" s="214"/>
      <c r="AJ100" s="214"/>
    </row>
    <row r="101" spans="1:36" s="3" customFormat="1" ht="25.5" customHeight="1">
      <c r="A101" s="230">
        <v>16</v>
      </c>
      <c r="B101" s="248" t="s">
        <v>445</v>
      </c>
      <c r="C101" s="238" t="s">
        <v>33</v>
      </c>
      <c r="D101" s="238">
        <v>64</v>
      </c>
      <c r="E101" s="238">
        <v>452</v>
      </c>
      <c r="F101" s="238">
        <v>521.20000000000005</v>
      </c>
      <c r="G101" s="238" t="s">
        <v>28</v>
      </c>
      <c r="H101" s="243">
        <v>504</v>
      </c>
      <c r="I101" s="247">
        <f>F101-H101</f>
        <v>17.200000000000045</v>
      </c>
      <c r="J101" s="243">
        <v>504</v>
      </c>
      <c r="K101" s="243">
        <v>1152</v>
      </c>
      <c r="L101" s="238"/>
      <c r="M101" s="244">
        <f>J101/K101*100</f>
        <v>43.75</v>
      </c>
      <c r="N101" s="243">
        <v>6</v>
      </c>
      <c r="O101" s="243">
        <v>2</v>
      </c>
      <c r="P101" s="243">
        <v>80000</v>
      </c>
      <c r="Q101" s="243">
        <f>P101*J101</f>
        <v>40320000</v>
      </c>
      <c r="R101" s="243">
        <f>Q101*3</f>
        <v>120960000</v>
      </c>
      <c r="S101" s="243">
        <f>N101*O101*S6</f>
        <v>6120000</v>
      </c>
      <c r="T101" s="243">
        <f>SUM(Q101:S106)</f>
        <v>167400000</v>
      </c>
      <c r="U101" s="210" t="s">
        <v>446</v>
      </c>
      <c r="V101" s="191"/>
      <c r="W101" s="191"/>
      <c r="X101" s="164" t="s">
        <v>0</v>
      </c>
      <c r="Y101" s="215">
        <v>390</v>
      </c>
      <c r="Z101" s="183">
        <v>180000</v>
      </c>
      <c r="AA101" s="209"/>
      <c r="AB101" s="197">
        <v>1</v>
      </c>
      <c r="AC101" s="161">
        <f>Y101*Z101*AB101</f>
        <v>70200000</v>
      </c>
      <c r="AD101" s="243">
        <f>SUM(AC101:AC106)</f>
        <v>82800000</v>
      </c>
      <c r="AE101" s="228">
        <f>T101+AD101</f>
        <v>250200000</v>
      </c>
      <c r="AF101" s="155"/>
      <c r="AG101" s="153"/>
      <c r="AH101" s="153"/>
      <c r="AI101" s="153"/>
      <c r="AJ101" s="153"/>
    </row>
    <row r="102" spans="1:36" s="3" customFormat="1" ht="24" customHeight="1">
      <c r="A102" s="230"/>
      <c r="B102" s="248"/>
      <c r="C102" s="238"/>
      <c r="D102" s="238"/>
      <c r="E102" s="238"/>
      <c r="F102" s="238"/>
      <c r="G102" s="238"/>
      <c r="H102" s="243"/>
      <c r="I102" s="247"/>
      <c r="J102" s="243"/>
      <c r="K102" s="243"/>
      <c r="L102" s="238"/>
      <c r="M102" s="244"/>
      <c r="N102" s="243"/>
      <c r="O102" s="243"/>
      <c r="P102" s="243"/>
      <c r="Q102" s="243"/>
      <c r="R102" s="243"/>
      <c r="S102" s="243"/>
      <c r="T102" s="243"/>
      <c r="U102" s="182" t="s">
        <v>624</v>
      </c>
      <c r="V102" s="191">
        <v>20</v>
      </c>
      <c r="W102" s="191">
        <f>(J101-Y101)/V102</f>
        <v>5.7</v>
      </c>
      <c r="X102" s="164" t="s">
        <v>2</v>
      </c>
      <c r="Y102" s="161">
        <v>13</v>
      </c>
      <c r="Z102" s="183"/>
      <c r="AA102" s="214"/>
      <c r="AB102" s="216"/>
      <c r="AC102" s="161"/>
      <c r="AD102" s="243"/>
      <c r="AE102" s="228"/>
      <c r="AF102" s="155" t="s">
        <v>398</v>
      </c>
      <c r="AG102" s="153"/>
      <c r="AH102" s="153"/>
      <c r="AI102" s="153"/>
      <c r="AJ102" s="153"/>
    </row>
    <row r="103" spans="1:36" s="3" customFormat="1" ht="21" customHeight="1">
      <c r="A103" s="230"/>
      <c r="B103" s="248"/>
      <c r="C103" s="238"/>
      <c r="D103" s="238"/>
      <c r="E103" s="238"/>
      <c r="F103" s="238"/>
      <c r="G103" s="238"/>
      <c r="H103" s="243"/>
      <c r="I103" s="247"/>
      <c r="J103" s="243"/>
      <c r="K103" s="243"/>
      <c r="L103" s="238"/>
      <c r="M103" s="244"/>
      <c r="N103" s="243"/>
      <c r="O103" s="243"/>
      <c r="P103" s="243"/>
      <c r="Q103" s="243"/>
      <c r="R103" s="243"/>
      <c r="S103" s="243"/>
      <c r="T103" s="243"/>
      <c r="U103" s="186" t="s">
        <v>421</v>
      </c>
      <c r="V103" s="191"/>
      <c r="W103" s="191">
        <f>0.3*W102</f>
        <v>1.71</v>
      </c>
      <c r="X103" s="164" t="s">
        <v>2</v>
      </c>
      <c r="Y103" s="161">
        <v>6</v>
      </c>
      <c r="Z103" s="183">
        <v>1800000</v>
      </c>
      <c r="AA103" s="214"/>
      <c r="AB103" s="216">
        <v>1</v>
      </c>
      <c r="AC103" s="161">
        <f t="shared" ref="AC103:AC107" si="11">Y103*Z103*AB103</f>
        <v>10800000</v>
      </c>
      <c r="AD103" s="243"/>
      <c r="AE103" s="228"/>
      <c r="AF103" s="155"/>
      <c r="AG103" s="153"/>
      <c r="AH103" s="153"/>
      <c r="AI103" s="153"/>
      <c r="AJ103" s="153"/>
    </row>
    <row r="104" spans="1:36" s="3" customFormat="1" ht="21" customHeight="1">
      <c r="A104" s="230"/>
      <c r="B104" s="248"/>
      <c r="C104" s="238"/>
      <c r="D104" s="238"/>
      <c r="E104" s="238"/>
      <c r="F104" s="238"/>
      <c r="G104" s="238"/>
      <c r="H104" s="243"/>
      <c r="I104" s="247"/>
      <c r="J104" s="243"/>
      <c r="K104" s="243"/>
      <c r="L104" s="238"/>
      <c r="M104" s="244"/>
      <c r="N104" s="243"/>
      <c r="O104" s="243"/>
      <c r="P104" s="243"/>
      <c r="Q104" s="243"/>
      <c r="R104" s="243"/>
      <c r="S104" s="243"/>
      <c r="T104" s="243"/>
      <c r="U104" s="186" t="s">
        <v>423</v>
      </c>
      <c r="V104" s="191"/>
      <c r="W104" s="191"/>
      <c r="X104" s="164" t="s">
        <v>2</v>
      </c>
      <c r="Y104" s="161">
        <v>2</v>
      </c>
      <c r="Z104" s="183">
        <v>1800000</v>
      </c>
      <c r="AA104" s="214"/>
      <c r="AB104" s="216">
        <v>0.5</v>
      </c>
      <c r="AC104" s="161">
        <f t="shared" si="11"/>
        <v>1800000</v>
      </c>
      <c r="AD104" s="243"/>
      <c r="AE104" s="228"/>
      <c r="AF104" s="155"/>
      <c r="AG104" s="153"/>
      <c r="AH104" s="153"/>
      <c r="AI104" s="153"/>
      <c r="AJ104" s="153"/>
    </row>
    <row r="105" spans="1:36" s="3" customFormat="1" ht="21" customHeight="1">
      <c r="A105" s="230"/>
      <c r="B105" s="248"/>
      <c r="C105" s="238"/>
      <c r="D105" s="238"/>
      <c r="E105" s="238"/>
      <c r="F105" s="238"/>
      <c r="G105" s="238"/>
      <c r="H105" s="243"/>
      <c r="I105" s="247"/>
      <c r="J105" s="243"/>
      <c r="K105" s="243"/>
      <c r="L105" s="238"/>
      <c r="M105" s="244"/>
      <c r="N105" s="243"/>
      <c r="O105" s="243"/>
      <c r="P105" s="243"/>
      <c r="Q105" s="243"/>
      <c r="R105" s="243"/>
      <c r="S105" s="243"/>
      <c r="T105" s="243"/>
      <c r="U105" s="186" t="s">
        <v>424</v>
      </c>
      <c r="V105" s="191"/>
      <c r="W105" s="191"/>
      <c r="X105" s="164" t="s">
        <v>2</v>
      </c>
      <c r="Y105" s="161">
        <f>Y102-Y103-Y104</f>
        <v>5</v>
      </c>
      <c r="Z105" s="183">
        <v>1800000</v>
      </c>
      <c r="AA105" s="214"/>
      <c r="AB105" s="216">
        <v>0</v>
      </c>
      <c r="AC105" s="161">
        <f t="shared" si="11"/>
        <v>0</v>
      </c>
      <c r="AD105" s="243"/>
      <c r="AE105" s="228"/>
      <c r="AF105" s="155"/>
      <c r="AG105" s="153"/>
      <c r="AH105" s="153"/>
      <c r="AI105" s="153"/>
      <c r="AJ105" s="153"/>
    </row>
    <row r="106" spans="1:36" s="3" customFormat="1" ht="21" customHeight="1">
      <c r="A106" s="230"/>
      <c r="B106" s="248"/>
      <c r="C106" s="238"/>
      <c r="D106" s="238"/>
      <c r="E106" s="238"/>
      <c r="F106" s="238"/>
      <c r="G106" s="238"/>
      <c r="H106" s="243"/>
      <c r="I106" s="247"/>
      <c r="J106" s="243"/>
      <c r="K106" s="243"/>
      <c r="L106" s="238"/>
      <c r="M106" s="244"/>
      <c r="N106" s="243"/>
      <c r="O106" s="243"/>
      <c r="P106" s="243"/>
      <c r="Q106" s="243"/>
      <c r="R106" s="243"/>
      <c r="S106" s="243"/>
      <c r="T106" s="243"/>
      <c r="U106" s="173" t="s">
        <v>419</v>
      </c>
      <c r="V106" s="191"/>
      <c r="W106" s="191"/>
      <c r="X106" s="164" t="s">
        <v>399</v>
      </c>
      <c r="Y106" s="161">
        <v>1</v>
      </c>
      <c r="Z106" s="183"/>
      <c r="AA106" s="214"/>
      <c r="AB106" s="216">
        <v>0</v>
      </c>
      <c r="AC106" s="161">
        <f t="shared" si="11"/>
        <v>0</v>
      </c>
      <c r="AD106" s="243"/>
      <c r="AE106" s="228"/>
      <c r="AF106" s="155"/>
      <c r="AG106" s="153"/>
      <c r="AH106" s="153"/>
      <c r="AI106" s="153"/>
      <c r="AJ106" s="153"/>
    </row>
    <row r="107" spans="1:36" s="3" customFormat="1" ht="22.5" customHeight="1">
      <c r="A107" s="230">
        <v>17</v>
      </c>
      <c r="B107" s="248" t="s">
        <v>447</v>
      </c>
      <c r="C107" s="238" t="s">
        <v>39</v>
      </c>
      <c r="D107" s="238">
        <v>64</v>
      </c>
      <c r="E107" s="238">
        <v>403</v>
      </c>
      <c r="F107" s="238">
        <v>360.1</v>
      </c>
      <c r="G107" s="238" t="s">
        <v>28</v>
      </c>
      <c r="H107" s="243">
        <v>360</v>
      </c>
      <c r="I107" s="247">
        <f>F107-H107</f>
        <v>0.10000000000002274</v>
      </c>
      <c r="J107" s="243">
        <v>360</v>
      </c>
      <c r="K107" s="243">
        <v>1566</v>
      </c>
      <c r="L107" s="238"/>
      <c r="M107" s="244">
        <f t="shared" ref="M107" si="12">J107/K107*100</f>
        <v>22.988505747126435</v>
      </c>
      <c r="N107" s="243">
        <v>5</v>
      </c>
      <c r="O107" s="243">
        <v>1</v>
      </c>
      <c r="P107" s="243">
        <v>80000</v>
      </c>
      <c r="Q107" s="243">
        <f>P107*J107</f>
        <v>28800000</v>
      </c>
      <c r="R107" s="243">
        <f>Q107*3</f>
        <v>86400000</v>
      </c>
      <c r="S107" s="243">
        <f>N107*O107*S6</f>
        <v>2550000</v>
      </c>
      <c r="T107" s="243">
        <f>SUM(Q107:S111)</f>
        <v>117750000</v>
      </c>
      <c r="U107" s="210" t="s">
        <v>446</v>
      </c>
      <c r="V107" s="191"/>
      <c r="W107" s="191"/>
      <c r="X107" s="164" t="s">
        <v>0</v>
      </c>
      <c r="Y107" s="215">
        <v>300</v>
      </c>
      <c r="Z107" s="183">
        <v>180000</v>
      </c>
      <c r="AA107" s="209"/>
      <c r="AB107" s="197">
        <v>1</v>
      </c>
      <c r="AC107" s="161">
        <f t="shared" si="11"/>
        <v>54000000</v>
      </c>
      <c r="AD107" s="243">
        <f>SUM(AC107:AC111)</f>
        <v>57500000</v>
      </c>
      <c r="AE107" s="228">
        <f>T107+AD107</f>
        <v>175250000</v>
      </c>
      <c r="AF107" s="155" t="s">
        <v>448</v>
      </c>
      <c r="AG107" s="153"/>
      <c r="AH107" s="153"/>
      <c r="AI107" s="153"/>
      <c r="AJ107" s="153"/>
    </row>
    <row r="108" spans="1:36" s="3" customFormat="1" ht="24" customHeight="1">
      <c r="A108" s="230"/>
      <c r="B108" s="248"/>
      <c r="C108" s="238"/>
      <c r="D108" s="238"/>
      <c r="E108" s="238"/>
      <c r="F108" s="238"/>
      <c r="G108" s="238"/>
      <c r="H108" s="243"/>
      <c r="I108" s="247"/>
      <c r="J108" s="243"/>
      <c r="K108" s="243"/>
      <c r="L108" s="238"/>
      <c r="M108" s="244"/>
      <c r="N108" s="243"/>
      <c r="O108" s="243"/>
      <c r="P108" s="243"/>
      <c r="Q108" s="243"/>
      <c r="R108" s="243"/>
      <c r="S108" s="243"/>
      <c r="T108" s="243"/>
      <c r="U108" s="182" t="s">
        <v>625</v>
      </c>
      <c r="V108" s="191">
        <v>4</v>
      </c>
      <c r="W108" s="191">
        <f>(J107-Y107)/V108</f>
        <v>15</v>
      </c>
      <c r="X108" s="164" t="s">
        <v>396</v>
      </c>
      <c r="Y108" s="161">
        <v>20</v>
      </c>
      <c r="Z108" s="183"/>
      <c r="AA108" s="209"/>
      <c r="AB108" s="197"/>
      <c r="AC108" s="161"/>
      <c r="AD108" s="243"/>
      <c r="AE108" s="228"/>
      <c r="AF108" s="155"/>
      <c r="AG108" s="153"/>
      <c r="AH108" s="153"/>
      <c r="AI108" s="153"/>
      <c r="AJ108" s="153"/>
    </row>
    <row r="109" spans="1:36" s="3" customFormat="1" ht="24" customHeight="1">
      <c r="A109" s="230"/>
      <c r="B109" s="248"/>
      <c r="C109" s="238"/>
      <c r="D109" s="238"/>
      <c r="E109" s="238"/>
      <c r="F109" s="238"/>
      <c r="G109" s="238"/>
      <c r="H109" s="243"/>
      <c r="I109" s="247"/>
      <c r="J109" s="243"/>
      <c r="K109" s="243"/>
      <c r="L109" s="238"/>
      <c r="M109" s="244"/>
      <c r="N109" s="243"/>
      <c r="O109" s="243"/>
      <c r="P109" s="243"/>
      <c r="Q109" s="243"/>
      <c r="R109" s="243"/>
      <c r="S109" s="243"/>
      <c r="T109" s="243"/>
      <c r="U109" s="186" t="s">
        <v>421</v>
      </c>
      <c r="V109" s="191"/>
      <c r="W109" s="191"/>
      <c r="X109" s="164" t="s">
        <v>396</v>
      </c>
      <c r="Y109" s="161">
        <v>15</v>
      </c>
      <c r="Z109" s="183">
        <v>200000</v>
      </c>
      <c r="AA109" s="214"/>
      <c r="AB109" s="216">
        <v>1</v>
      </c>
      <c r="AC109" s="161">
        <f t="shared" ref="AC109:AC112" si="13">Y109*Z109*AB109</f>
        <v>3000000</v>
      </c>
      <c r="AD109" s="243"/>
      <c r="AE109" s="228"/>
      <c r="AF109" s="155"/>
      <c r="AG109" s="153"/>
      <c r="AH109" s="153"/>
      <c r="AI109" s="153"/>
      <c r="AJ109" s="153"/>
    </row>
    <row r="110" spans="1:36" s="3" customFormat="1" ht="24" customHeight="1">
      <c r="A110" s="230"/>
      <c r="B110" s="248"/>
      <c r="C110" s="238"/>
      <c r="D110" s="238"/>
      <c r="E110" s="238"/>
      <c r="F110" s="238"/>
      <c r="G110" s="238"/>
      <c r="H110" s="243"/>
      <c r="I110" s="247"/>
      <c r="J110" s="243"/>
      <c r="K110" s="243"/>
      <c r="L110" s="238"/>
      <c r="M110" s="244"/>
      <c r="N110" s="243"/>
      <c r="O110" s="243"/>
      <c r="P110" s="243"/>
      <c r="Q110" s="243"/>
      <c r="R110" s="243"/>
      <c r="S110" s="243"/>
      <c r="T110" s="243"/>
      <c r="U110" s="186" t="s">
        <v>423</v>
      </c>
      <c r="V110" s="191"/>
      <c r="W110" s="191">
        <f>0.3*W108</f>
        <v>4.5</v>
      </c>
      <c r="X110" s="164" t="s">
        <v>396</v>
      </c>
      <c r="Y110" s="161">
        <v>5</v>
      </c>
      <c r="Z110" s="183">
        <v>200000</v>
      </c>
      <c r="AA110" s="214"/>
      <c r="AB110" s="216">
        <v>0.5</v>
      </c>
      <c r="AC110" s="161">
        <f t="shared" si="13"/>
        <v>500000</v>
      </c>
      <c r="AD110" s="243"/>
      <c r="AE110" s="228"/>
      <c r="AF110" s="155"/>
      <c r="AG110" s="153"/>
      <c r="AH110" s="153"/>
      <c r="AI110" s="153"/>
      <c r="AJ110" s="153"/>
    </row>
    <row r="111" spans="1:36" s="3" customFormat="1" ht="26.25" customHeight="1">
      <c r="A111" s="230"/>
      <c r="B111" s="248"/>
      <c r="C111" s="238"/>
      <c r="D111" s="238"/>
      <c r="E111" s="238"/>
      <c r="F111" s="238"/>
      <c r="G111" s="238"/>
      <c r="H111" s="243"/>
      <c r="I111" s="247"/>
      <c r="J111" s="243"/>
      <c r="K111" s="243"/>
      <c r="L111" s="238"/>
      <c r="M111" s="244"/>
      <c r="N111" s="243"/>
      <c r="O111" s="243"/>
      <c r="P111" s="243"/>
      <c r="Q111" s="243"/>
      <c r="R111" s="243"/>
      <c r="S111" s="243"/>
      <c r="T111" s="243"/>
      <c r="U111" s="182" t="s">
        <v>626</v>
      </c>
      <c r="V111" s="191"/>
      <c r="W111" s="191"/>
      <c r="X111" s="164" t="s">
        <v>396</v>
      </c>
      <c r="Y111" s="161">
        <v>15</v>
      </c>
      <c r="Z111" s="183">
        <v>150000</v>
      </c>
      <c r="AA111" s="214"/>
      <c r="AB111" s="216">
        <v>0</v>
      </c>
      <c r="AC111" s="161">
        <f t="shared" si="13"/>
        <v>0</v>
      </c>
      <c r="AD111" s="243"/>
      <c r="AE111" s="228"/>
      <c r="AF111" s="155"/>
      <c r="AG111" s="153"/>
      <c r="AH111" s="153"/>
      <c r="AI111" s="153"/>
      <c r="AJ111" s="153"/>
    </row>
    <row r="112" spans="1:36" s="3" customFormat="1" ht="24.75" customHeight="1">
      <c r="A112" s="230">
        <v>18</v>
      </c>
      <c r="B112" s="235" t="s">
        <v>451</v>
      </c>
      <c r="C112" s="190" t="s">
        <v>44</v>
      </c>
      <c r="D112" s="238">
        <v>64</v>
      </c>
      <c r="E112" s="238">
        <v>444</v>
      </c>
      <c r="F112" s="238">
        <v>372.6</v>
      </c>
      <c r="G112" s="238" t="s">
        <v>28</v>
      </c>
      <c r="H112" s="238">
        <v>360</v>
      </c>
      <c r="I112" s="238">
        <f>F112-H112</f>
        <v>12.600000000000023</v>
      </c>
      <c r="J112" s="238">
        <v>360</v>
      </c>
      <c r="K112" s="238">
        <v>720</v>
      </c>
      <c r="L112" s="238"/>
      <c r="M112" s="238">
        <f>J112/K112*100</f>
        <v>50</v>
      </c>
      <c r="N112" s="238">
        <v>6</v>
      </c>
      <c r="O112" s="238">
        <v>5</v>
      </c>
      <c r="P112" s="243">
        <v>80000</v>
      </c>
      <c r="Q112" s="243">
        <f>P112*J112</f>
        <v>28800000</v>
      </c>
      <c r="R112" s="243">
        <f>Q112*3</f>
        <v>86400000</v>
      </c>
      <c r="S112" s="243">
        <f>N112*O112*S6</f>
        <v>15300000</v>
      </c>
      <c r="T112" s="243">
        <f>SUM(Q112:S117)</f>
        <v>130500000</v>
      </c>
      <c r="U112" s="210" t="s">
        <v>446</v>
      </c>
      <c r="V112" s="191"/>
      <c r="W112" s="191"/>
      <c r="X112" s="164" t="s">
        <v>0</v>
      </c>
      <c r="Y112" s="215">
        <v>300</v>
      </c>
      <c r="Z112" s="183">
        <v>180000</v>
      </c>
      <c r="AA112" s="209"/>
      <c r="AB112" s="197">
        <v>1</v>
      </c>
      <c r="AC112" s="161">
        <f t="shared" si="13"/>
        <v>54000000</v>
      </c>
      <c r="AD112" s="243">
        <f>SUM(AC112:AC117)</f>
        <v>59650000</v>
      </c>
      <c r="AE112" s="231">
        <f>T112+AD112</f>
        <v>190150000</v>
      </c>
      <c r="AF112" s="155"/>
      <c r="AG112" s="249"/>
      <c r="AH112" s="153"/>
      <c r="AI112" s="153"/>
      <c r="AJ112" s="153"/>
    </row>
    <row r="113" spans="1:37" s="3" customFormat="1" ht="38.25" customHeight="1">
      <c r="A113" s="230"/>
      <c r="B113" s="235"/>
      <c r="C113" s="190"/>
      <c r="D113" s="238"/>
      <c r="E113" s="238"/>
      <c r="F113" s="238"/>
      <c r="G113" s="238"/>
      <c r="H113" s="238"/>
      <c r="I113" s="238"/>
      <c r="J113" s="238"/>
      <c r="K113" s="238"/>
      <c r="L113" s="238"/>
      <c r="M113" s="238"/>
      <c r="N113" s="238"/>
      <c r="O113" s="238"/>
      <c r="P113" s="243"/>
      <c r="Q113" s="243"/>
      <c r="R113" s="243"/>
      <c r="S113" s="243"/>
      <c r="T113" s="243"/>
      <c r="U113" s="210" t="s">
        <v>453</v>
      </c>
      <c r="V113" s="191">
        <v>25</v>
      </c>
      <c r="W113" s="191">
        <f>(J112-Y112-Y117)/V113</f>
        <v>1.24</v>
      </c>
      <c r="X113" s="164" t="s">
        <v>2</v>
      </c>
      <c r="Y113" s="215">
        <v>1</v>
      </c>
      <c r="Z113" s="183"/>
      <c r="AA113" s="209"/>
      <c r="AB113" s="197"/>
      <c r="AC113" s="161"/>
      <c r="AD113" s="243"/>
      <c r="AE113" s="231"/>
      <c r="AF113" s="155" t="s">
        <v>452</v>
      </c>
      <c r="AG113" s="249"/>
      <c r="AH113" s="153"/>
      <c r="AI113" s="153"/>
      <c r="AJ113" s="153"/>
    </row>
    <row r="114" spans="1:37" s="3" customFormat="1" ht="21.75" customHeight="1">
      <c r="A114" s="230"/>
      <c r="B114" s="235"/>
      <c r="C114" s="190"/>
      <c r="D114" s="238"/>
      <c r="E114" s="238"/>
      <c r="F114" s="238"/>
      <c r="G114" s="238"/>
      <c r="H114" s="238"/>
      <c r="I114" s="238"/>
      <c r="J114" s="238"/>
      <c r="K114" s="238"/>
      <c r="L114" s="238"/>
      <c r="M114" s="238"/>
      <c r="N114" s="238"/>
      <c r="O114" s="238"/>
      <c r="P114" s="243"/>
      <c r="Q114" s="243"/>
      <c r="R114" s="243"/>
      <c r="S114" s="243"/>
      <c r="T114" s="243"/>
      <c r="U114" s="186" t="s">
        <v>421</v>
      </c>
      <c r="V114" s="191"/>
      <c r="W114" s="191"/>
      <c r="X114" s="164" t="s">
        <v>2</v>
      </c>
      <c r="Y114" s="215">
        <v>1</v>
      </c>
      <c r="Z114" s="183">
        <v>3850000</v>
      </c>
      <c r="AA114" s="209"/>
      <c r="AB114" s="197">
        <v>1</v>
      </c>
      <c r="AC114" s="161">
        <f t="shared" ref="AC114:AC119" si="14">Y114*Z114*AB114</f>
        <v>3850000</v>
      </c>
      <c r="AD114" s="243"/>
      <c r="AE114" s="231"/>
      <c r="AF114" s="155"/>
      <c r="AG114" s="249"/>
      <c r="AH114" s="153"/>
      <c r="AI114" s="153"/>
      <c r="AJ114" s="153"/>
    </row>
    <row r="115" spans="1:37" s="3" customFormat="1" ht="39" customHeight="1">
      <c r="A115" s="230"/>
      <c r="B115" s="235"/>
      <c r="C115" s="190"/>
      <c r="D115" s="238"/>
      <c r="E115" s="238"/>
      <c r="F115" s="238"/>
      <c r="G115" s="238"/>
      <c r="H115" s="238"/>
      <c r="I115" s="238"/>
      <c r="J115" s="238"/>
      <c r="K115" s="238"/>
      <c r="L115" s="238"/>
      <c r="M115" s="238"/>
      <c r="N115" s="238"/>
      <c r="O115" s="238"/>
      <c r="P115" s="243"/>
      <c r="Q115" s="243"/>
      <c r="R115" s="243"/>
      <c r="S115" s="243"/>
      <c r="T115" s="243"/>
      <c r="U115" s="210" t="s">
        <v>454</v>
      </c>
      <c r="V115" s="191">
        <v>20</v>
      </c>
      <c r="W115" s="191">
        <f>(J112-Y112-Y117)/V115</f>
        <v>1.55</v>
      </c>
      <c r="X115" s="164" t="s">
        <v>2</v>
      </c>
      <c r="Y115" s="215">
        <v>2</v>
      </c>
      <c r="Z115" s="183"/>
      <c r="AA115" s="209"/>
      <c r="AB115" s="197"/>
      <c r="AC115" s="161">
        <f t="shared" si="14"/>
        <v>0</v>
      </c>
      <c r="AD115" s="243"/>
      <c r="AE115" s="231"/>
      <c r="AF115" s="155"/>
      <c r="AG115" s="249"/>
      <c r="AH115" s="153"/>
      <c r="AI115" s="153"/>
      <c r="AJ115" s="153"/>
    </row>
    <row r="116" spans="1:37" s="3" customFormat="1" ht="24" customHeight="1">
      <c r="A116" s="230"/>
      <c r="B116" s="235"/>
      <c r="C116" s="190"/>
      <c r="D116" s="238"/>
      <c r="E116" s="238"/>
      <c r="F116" s="238"/>
      <c r="G116" s="238"/>
      <c r="H116" s="238"/>
      <c r="I116" s="238"/>
      <c r="J116" s="238"/>
      <c r="K116" s="238"/>
      <c r="L116" s="238"/>
      <c r="M116" s="238"/>
      <c r="N116" s="238"/>
      <c r="O116" s="238"/>
      <c r="P116" s="243"/>
      <c r="Q116" s="243"/>
      <c r="R116" s="243"/>
      <c r="S116" s="243"/>
      <c r="T116" s="243"/>
      <c r="U116" s="186" t="s">
        <v>421</v>
      </c>
      <c r="V116" s="191"/>
      <c r="W116" s="191"/>
      <c r="X116" s="164" t="s">
        <v>2</v>
      </c>
      <c r="Y116" s="161">
        <v>2</v>
      </c>
      <c r="Z116" s="183">
        <v>1800000</v>
      </c>
      <c r="AA116" s="208"/>
      <c r="AB116" s="197">
        <v>0.5</v>
      </c>
      <c r="AC116" s="161">
        <f t="shared" si="14"/>
        <v>1800000</v>
      </c>
      <c r="AD116" s="243"/>
      <c r="AE116" s="231"/>
      <c r="AF116" s="155"/>
      <c r="AG116" s="249"/>
      <c r="AH116" s="153"/>
      <c r="AI116" s="153"/>
      <c r="AJ116" s="153"/>
    </row>
    <row r="117" spans="1:37" s="3" customFormat="1" ht="24" customHeight="1">
      <c r="A117" s="230"/>
      <c r="B117" s="235"/>
      <c r="C117" s="190"/>
      <c r="D117" s="238"/>
      <c r="E117" s="238"/>
      <c r="F117" s="238"/>
      <c r="G117" s="238"/>
      <c r="H117" s="238"/>
      <c r="I117" s="238"/>
      <c r="J117" s="238"/>
      <c r="K117" s="238"/>
      <c r="L117" s="238"/>
      <c r="M117" s="238"/>
      <c r="N117" s="238"/>
      <c r="O117" s="238"/>
      <c r="P117" s="243"/>
      <c r="Q117" s="243"/>
      <c r="R117" s="243"/>
      <c r="S117" s="243"/>
      <c r="T117" s="243"/>
      <c r="U117" s="186" t="s">
        <v>455</v>
      </c>
      <c r="V117" s="191"/>
      <c r="W117" s="191"/>
      <c r="X117" s="164" t="s">
        <v>6</v>
      </c>
      <c r="Y117" s="161">
        <v>29</v>
      </c>
      <c r="Z117" s="183"/>
      <c r="AA117" s="208"/>
      <c r="AB117" s="197">
        <v>0</v>
      </c>
      <c r="AC117" s="161">
        <f t="shared" si="14"/>
        <v>0</v>
      </c>
      <c r="AD117" s="243"/>
      <c r="AE117" s="231"/>
      <c r="AF117" s="155"/>
      <c r="AG117" s="249"/>
      <c r="AH117" s="153"/>
      <c r="AI117" s="153"/>
      <c r="AJ117" s="153"/>
    </row>
    <row r="118" spans="1:37" s="3" customFormat="1" ht="33.75" customHeight="1">
      <c r="A118" s="230">
        <v>19</v>
      </c>
      <c r="B118" s="248" t="s">
        <v>456</v>
      </c>
      <c r="C118" s="238" t="s">
        <v>44</v>
      </c>
      <c r="D118" s="238">
        <v>64</v>
      </c>
      <c r="E118" s="238">
        <v>445</v>
      </c>
      <c r="F118" s="238">
        <v>372.3</v>
      </c>
      <c r="G118" s="238" t="s">
        <v>28</v>
      </c>
      <c r="H118" s="243">
        <v>360</v>
      </c>
      <c r="I118" s="247">
        <f>F118-H118</f>
        <v>12.300000000000011</v>
      </c>
      <c r="J118" s="243">
        <v>360</v>
      </c>
      <c r="K118" s="243">
        <v>720</v>
      </c>
      <c r="L118" s="238"/>
      <c r="M118" s="238">
        <f>J118/K118*100</f>
        <v>50</v>
      </c>
      <c r="N118" s="243">
        <v>6</v>
      </c>
      <c r="O118" s="243">
        <v>4</v>
      </c>
      <c r="P118" s="243">
        <v>80000</v>
      </c>
      <c r="Q118" s="243">
        <f>P118*J118</f>
        <v>28800000</v>
      </c>
      <c r="R118" s="243">
        <f>Q118*3</f>
        <v>86400000</v>
      </c>
      <c r="S118" s="243">
        <f>N118*O118*S6</f>
        <v>12240000</v>
      </c>
      <c r="T118" s="243">
        <f>SUM(Q118:S127)</f>
        <v>127440000</v>
      </c>
      <c r="U118" s="210" t="s">
        <v>457</v>
      </c>
      <c r="V118" s="191">
        <v>25</v>
      </c>
      <c r="W118" s="191">
        <f>J118/V118</f>
        <v>14.4</v>
      </c>
      <c r="X118" s="164" t="s">
        <v>2</v>
      </c>
      <c r="Y118" s="161">
        <v>2</v>
      </c>
      <c r="Z118" s="183"/>
      <c r="AA118" s="208"/>
      <c r="AB118" s="197"/>
      <c r="AC118" s="161">
        <f t="shared" si="14"/>
        <v>0</v>
      </c>
      <c r="AD118" s="243">
        <f>SUM(AC118:AC127)</f>
        <v>59125000</v>
      </c>
      <c r="AE118" s="231">
        <f>T118+AD118</f>
        <v>186565000</v>
      </c>
      <c r="AF118" s="155" t="s">
        <v>398</v>
      </c>
      <c r="AG118" s="241"/>
      <c r="AH118" s="153"/>
      <c r="AI118" s="153"/>
      <c r="AJ118" s="153"/>
    </row>
    <row r="119" spans="1:37" s="3" customFormat="1" ht="19.5" customHeight="1">
      <c r="A119" s="230"/>
      <c r="B119" s="248"/>
      <c r="C119" s="238"/>
      <c r="D119" s="238"/>
      <c r="E119" s="238"/>
      <c r="F119" s="238"/>
      <c r="G119" s="238"/>
      <c r="H119" s="243"/>
      <c r="I119" s="247"/>
      <c r="J119" s="243"/>
      <c r="K119" s="243"/>
      <c r="L119" s="238"/>
      <c r="M119" s="238"/>
      <c r="N119" s="243"/>
      <c r="O119" s="243"/>
      <c r="P119" s="243"/>
      <c r="Q119" s="243"/>
      <c r="R119" s="243"/>
      <c r="S119" s="243"/>
      <c r="T119" s="243"/>
      <c r="U119" s="186" t="s">
        <v>421</v>
      </c>
      <c r="V119" s="191"/>
      <c r="W119" s="191"/>
      <c r="X119" s="164" t="s">
        <v>2</v>
      </c>
      <c r="Y119" s="161">
        <v>2</v>
      </c>
      <c r="Z119" s="183">
        <v>4500000</v>
      </c>
      <c r="AA119" s="208"/>
      <c r="AB119" s="197">
        <v>1</v>
      </c>
      <c r="AC119" s="161">
        <f t="shared" si="14"/>
        <v>9000000</v>
      </c>
      <c r="AD119" s="243"/>
      <c r="AE119" s="231"/>
      <c r="AF119" s="155"/>
      <c r="AG119" s="241"/>
      <c r="AH119" s="153"/>
      <c r="AI119" s="153"/>
      <c r="AJ119" s="153"/>
    </row>
    <row r="120" spans="1:37" s="3" customFormat="1" ht="34.5" customHeight="1">
      <c r="A120" s="230"/>
      <c r="B120" s="248"/>
      <c r="C120" s="238"/>
      <c r="D120" s="238"/>
      <c r="E120" s="238"/>
      <c r="F120" s="238"/>
      <c r="G120" s="238"/>
      <c r="H120" s="243"/>
      <c r="I120" s="247"/>
      <c r="J120" s="243"/>
      <c r="K120" s="243"/>
      <c r="L120" s="238"/>
      <c r="M120" s="238"/>
      <c r="N120" s="243"/>
      <c r="O120" s="243"/>
      <c r="P120" s="243"/>
      <c r="Q120" s="243"/>
      <c r="R120" s="243"/>
      <c r="S120" s="243"/>
      <c r="T120" s="243"/>
      <c r="U120" s="210" t="s">
        <v>453</v>
      </c>
      <c r="V120" s="191"/>
      <c r="W120" s="191"/>
      <c r="X120" s="164" t="s">
        <v>2</v>
      </c>
      <c r="Y120" s="215">
        <v>10</v>
      </c>
      <c r="Z120" s="183"/>
      <c r="AA120" s="209"/>
      <c r="AB120" s="197"/>
      <c r="AC120" s="161"/>
      <c r="AD120" s="243"/>
      <c r="AE120" s="231"/>
      <c r="AF120" s="155"/>
      <c r="AG120" s="241"/>
      <c r="AH120" s="153"/>
      <c r="AI120" s="153"/>
      <c r="AJ120" s="153"/>
    </row>
    <row r="121" spans="1:37" s="3" customFormat="1" ht="19.5" customHeight="1">
      <c r="A121" s="230"/>
      <c r="B121" s="248"/>
      <c r="C121" s="238"/>
      <c r="D121" s="238"/>
      <c r="E121" s="238"/>
      <c r="F121" s="238"/>
      <c r="G121" s="238"/>
      <c r="H121" s="243"/>
      <c r="I121" s="247"/>
      <c r="J121" s="243"/>
      <c r="K121" s="243"/>
      <c r="L121" s="238"/>
      <c r="M121" s="238"/>
      <c r="N121" s="243"/>
      <c r="O121" s="243"/>
      <c r="P121" s="243"/>
      <c r="Q121" s="243"/>
      <c r="R121" s="243"/>
      <c r="S121" s="243"/>
      <c r="T121" s="243"/>
      <c r="U121" s="186" t="s">
        <v>421</v>
      </c>
      <c r="V121" s="191"/>
      <c r="W121" s="191"/>
      <c r="X121" s="164" t="s">
        <v>2</v>
      </c>
      <c r="Y121" s="215">
        <v>10</v>
      </c>
      <c r="Z121" s="183">
        <v>3850000</v>
      </c>
      <c r="AA121" s="209"/>
      <c r="AB121" s="197">
        <v>1</v>
      </c>
      <c r="AC121" s="161">
        <f t="shared" ref="AC121" si="15">Y121*Z121*AB121</f>
        <v>38500000</v>
      </c>
      <c r="AD121" s="243"/>
      <c r="AE121" s="231"/>
      <c r="AF121" s="155"/>
      <c r="AG121" s="241"/>
      <c r="AH121" s="153"/>
      <c r="AI121" s="153"/>
      <c r="AJ121" s="153"/>
    </row>
    <row r="122" spans="1:37" s="3" customFormat="1" ht="39" customHeight="1">
      <c r="A122" s="230"/>
      <c r="B122" s="248"/>
      <c r="C122" s="238"/>
      <c r="D122" s="238"/>
      <c r="E122" s="238"/>
      <c r="F122" s="238"/>
      <c r="G122" s="238"/>
      <c r="H122" s="243"/>
      <c r="I122" s="247"/>
      <c r="J122" s="243"/>
      <c r="K122" s="243"/>
      <c r="L122" s="238"/>
      <c r="M122" s="238"/>
      <c r="N122" s="243"/>
      <c r="O122" s="243"/>
      <c r="P122" s="243"/>
      <c r="Q122" s="243"/>
      <c r="R122" s="243"/>
      <c r="S122" s="243"/>
      <c r="T122" s="243"/>
      <c r="U122" s="210" t="s">
        <v>458</v>
      </c>
      <c r="V122" s="191"/>
      <c r="W122" s="191"/>
      <c r="X122" s="164" t="s">
        <v>2</v>
      </c>
      <c r="Y122" s="215">
        <v>4</v>
      </c>
      <c r="Z122" s="183"/>
      <c r="AA122" s="209"/>
      <c r="AB122" s="197"/>
      <c r="AC122" s="161"/>
      <c r="AD122" s="243"/>
      <c r="AE122" s="231"/>
      <c r="AF122" s="155"/>
      <c r="AG122" s="241"/>
      <c r="AH122" s="153"/>
      <c r="AI122" s="153"/>
      <c r="AJ122" s="153"/>
    </row>
    <row r="123" spans="1:37" s="3" customFormat="1" ht="24.75" customHeight="1">
      <c r="A123" s="230"/>
      <c r="B123" s="248"/>
      <c r="C123" s="238"/>
      <c r="D123" s="238"/>
      <c r="E123" s="238"/>
      <c r="F123" s="238"/>
      <c r="G123" s="238"/>
      <c r="H123" s="243"/>
      <c r="I123" s="247"/>
      <c r="J123" s="243"/>
      <c r="K123" s="243"/>
      <c r="L123" s="238"/>
      <c r="M123" s="238"/>
      <c r="N123" s="243"/>
      <c r="O123" s="243"/>
      <c r="P123" s="243"/>
      <c r="Q123" s="243"/>
      <c r="R123" s="243"/>
      <c r="S123" s="243"/>
      <c r="T123" s="243"/>
      <c r="U123" s="186" t="s">
        <v>421</v>
      </c>
      <c r="V123" s="191"/>
      <c r="W123" s="191"/>
      <c r="X123" s="164" t="s">
        <v>2</v>
      </c>
      <c r="Y123" s="215">
        <v>2</v>
      </c>
      <c r="Z123" s="183">
        <v>3750000</v>
      </c>
      <c r="AA123" s="209"/>
      <c r="AB123" s="197">
        <v>1</v>
      </c>
      <c r="AC123" s="161">
        <f t="shared" ref="AC123:AC124" si="16">Y123*Z123*AB123</f>
        <v>7500000</v>
      </c>
      <c r="AD123" s="243"/>
      <c r="AE123" s="231"/>
      <c r="AF123" s="155"/>
      <c r="AG123" s="241"/>
      <c r="AH123" s="153"/>
      <c r="AI123" s="153"/>
      <c r="AJ123" s="153"/>
    </row>
    <row r="124" spans="1:37" s="3" customFormat="1" ht="24.75" customHeight="1">
      <c r="A124" s="230"/>
      <c r="B124" s="248"/>
      <c r="C124" s="238"/>
      <c r="D124" s="238"/>
      <c r="E124" s="238"/>
      <c r="F124" s="238"/>
      <c r="G124" s="238"/>
      <c r="H124" s="243"/>
      <c r="I124" s="247"/>
      <c r="J124" s="243"/>
      <c r="K124" s="243"/>
      <c r="L124" s="238"/>
      <c r="M124" s="238"/>
      <c r="N124" s="243"/>
      <c r="O124" s="243"/>
      <c r="P124" s="243"/>
      <c r="Q124" s="243"/>
      <c r="R124" s="243"/>
      <c r="S124" s="243"/>
      <c r="T124" s="243"/>
      <c r="U124" s="186" t="s">
        <v>423</v>
      </c>
      <c r="V124" s="191"/>
      <c r="W124" s="191">
        <f>0.3*2</f>
        <v>0.6</v>
      </c>
      <c r="X124" s="164" t="s">
        <v>2</v>
      </c>
      <c r="Y124" s="161">
        <v>1</v>
      </c>
      <c r="Z124" s="183">
        <v>3750000</v>
      </c>
      <c r="AA124" s="208"/>
      <c r="AB124" s="197">
        <v>0.3</v>
      </c>
      <c r="AC124" s="161">
        <f t="shared" si="16"/>
        <v>1125000</v>
      </c>
      <c r="AD124" s="243"/>
      <c r="AE124" s="231"/>
      <c r="AF124" s="155"/>
      <c r="AG124" s="241"/>
      <c r="AH124" s="153"/>
      <c r="AI124" s="153"/>
      <c r="AJ124" s="153"/>
    </row>
    <row r="125" spans="1:37" s="3" customFormat="1" ht="24.75" customHeight="1">
      <c r="A125" s="230"/>
      <c r="B125" s="248"/>
      <c r="C125" s="238"/>
      <c r="D125" s="238"/>
      <c r="E125" s="238"/>
      <c r="F125" s="238"/>
      <c r="G125" s="238"/>
      <c r="H125" s="243"/>
      <c r="I125" s="247"/>
      <c r="J125" s="243"/>
      <c r="K125" s="243"/>
      <c r="L125" s="238"/>
      <c r="M125" s="238"/>
      <c r="N125" s="243"/>
      <c r="O125" s="243"/>
      <c r="P125" s="243"/>
      <c r="Q125" s="243"/>
      <c r="R125" s="243"/>
      <c r="S125" s="243"/>
      <c r="T125" s="243"/>
      <c r="U125" s="186" t="s">
        <v>424</v>
      </c>
      <c r="V125" s="191"/>
      <c r="W125" s="191"/>
      <c r="X125" s="164" t="s">
        <v>2</v>
      </c>
      <c r="Y125" s="161">
        <v>1</v>
      </c>
      <c r="Z125" s="183">
        <v>3750000</v>
      </c>
      <c r="AA125" s="208"/>
      <c r="AB125" s="197">
        <v>0</v>
      </c>
      <c r="AC125" s="161">
        <f t="shared" ref="AC125" si="17">Y125*Z125*AB125/100</f>
        <v>0</v>
      </c>
      <c r="AD125" s="243"/>
      <c r="AE125" s="231"/>
      <c r="AF125" s="155"/>
      <c r="AG125" s="241"/>
      <c r="AH125" s="153"/>
      <c r="AI125" s="153"/>
      <c r="AJ125" s="153"/>
    </row>
    <row r="126" spans="1:37" s="3" customFormat="1" ht="39" customHeight="1">
      <c r="A126" s="230"/>
      <c r="B126" s="248"/>
      <c r="C126" s="238"/>
      <c r="D126" s="238"/>
      <c r="E126" s="238"/>
      <c r="F126" s="238"/>
      <c r="G126" s="238"/>
      <c r="H126" s="243"/>
      <c r="I126" s="247"/>
      <c r="J126" s="243"/>
      <c r="K126" s="243"/>
      <c r="L126" s="238"/>
      <c r="M126" s="238"/>
      <c r="N126" s="243"/>
      <c r="O126" s="243"/>
      <c r="P126" s="243"/>
      <c r="Q126" s="243"/>
      <c r="R126" s="243"/>
      <c r="S126" s="243"/>
      <c r="T126" s="243"/>
      <c r="U126" s="210" t="s">
        <v>459</v>
      </c>
      <c r="V126" s="191">
        <v>20</v>
      </c>
      <c r="W126" s="191">
        <f>J118/V126</f>
        <v>18</v>
      </c>
      <c r="X126" s="164" t="s">
        <v>2</v>
      </c>
      <c r="Y126" s="161">
        <v>4</v>
      </c>
      <c r="Z126" s="183"/>
      <c r="AA126" s="208"/>
      <c r="AB126" s="197"/>
      <c r="AC126" s="161"/>
      <c r="AD126" s="243"/>
      <c r="AE126" s="231"/>
      <c r="AF126" s="155"/>
      <c r="AG126" s="241"/>
      <c r="AH126" s="153"/>
      <c r="AI126" s="153"/>
      <c r="AJ126" s="153"/>
    </row>
    <row r="127" spans="1:37" s="3" customFormat="1" ht="26.25" customHeight="1">
      <c r="A127" s="230"/>
      <c r="B127" s="248"/>
      <c r="C127" s="238"/>
      <c r="D127" s="238"/>
      <c r="E127" s="238"/>
      <c r="F127" s="238"/>
      <c r="G127" s="238"/>
      <c r="H127" s="243"/>
      <c r="I127" s="247"/>
      <c r="J127" s="243"/>
      <c r="K127" s="243"/>
      <c r="L127" s="238"/>
      <c r="M127" s="238"/>
      <c r="N127" s="243"/>
      <c r="O127" s="243"/>
      <c r="P127" s="243"/>
      <c r="Q127" s="243"/>
      <c r="R127" s="243"/>
      <c r="S127" s="243"/>
      <c r="T127" s="243"/>
      <c r="U127" s="186" t="s">
        <v>421</v>
      </c>
      <c r="V127" s="191"/>
      <c r="W127" s="191">
        <f>0.3*W126</f>
        <v>5.3999999999999995</v>
      </c>
      <c r="X127" s="164" t="s">
        <v>2</v>
      </c>
      <c r="Y127" s="161">
        <v>4</v>
      </c>
      <c r="Z127" s="183">
        <v>2500000</v>
      </c>
      <c r="AA127" s="208"/>
      <c r="AB127" s="197">
        <v>0.3</v>
      </c>
      <c r="AC127" s="161">
        <f>Y127*Z127*AB127</f>
        <v>3000000</v>
      </c>
      <c r="AD127" s="243"/>
      <c r="AE127" s="231"/>
      <c r="AF127" s="155"/>
      <c r="AG127" s="241"/>
      <c r="AH127" s="153"/>
      <c r="AI127" s="153"/>
      <c r="AJ127" s="153"/>
    </row>
    <row r="128" spans="1:37" s="21" customFormat="1" ht="54.75" customHeight="1">
      <c r="A128" s="184">
        <v>20</v>
      </c>
      <c r="B128" s="190" t="s">
        <v>650</v>
      </c>
      <c r="C128" s="164" t="s">
        <v>44</v>
      </c>
      <c r="D128" s="164">
        <v>64</v>
      </c>
      <c r="E128" s="164">
        <v>427</v>
      </c>
      <c r="F128" s="164">
        <v>282.89999999999998</v>
      </c>
      <c r="G128" s="164" t="s">
        <v>28</v>
      </c>
      <c r="H128" s="161">
        <v>288</v>
      </c>
      <c r="I128" s="192">
        <f>F128-H128</f>
        <v>-5.1000000000000227</v>
      </c>
      <c r="J128" s="161">
        <v>288</v>
      </c>
      <c r="K128" s="161">
        <v>1440</v>
      </c>
      <c r="L128" s="164"/>
      <c r="M128" s="164">
        <f>J128/K128*100</f>
        <v>20</v>
      </c>
      <c r="N128" s="161">
        <v>5</v>
      </c>
      <c r="O128" s="161">
        <v>4</v>
      </c>
      <c r="P128" s="161">
        <v>80000</v>
      </c>
      <c r="Q128" s="161">
        <f>P128*J128</f>
        <v>23040000</v>
      </c>
      <c r="R128" s="161">
        <f>Q128*3</f>
        <v>69120000</v>
      </c>
      <c r="S128" s="161">
        <f>N128*O128*S6</f>
        <v>10200000</v>
      </c>
      <c r="T128" s="161">
        <f>SUM(Q128:S128)</f>
        <v>102360000</v>
      </c>
      <c r="U128" s="210" t="s">
        <v>446</v>
      </c>
      <c r="V128" s="191"/>
      <c r="W128" s="191"/>
      <c r="X128" s="164" t="s">
        <v>0</v>
      </c>
      <c r="Y128" s="215">
        <v>280</v>
      </c>
      <c r="Z128" s="183">
        <v>180000</v>
      </c>
      <c r="AA128" s="209"/>
      <c r="AB128" s="197">
        <v>1</v>
      </c>
      <c r="AC128" s="161">
        <f>Y128*Z128*AB128</f>
        <v>50400000</v>
      </c>
      <c r="AD128" s="161">
        <f>SUM(AC128:AC128)</f>
        <v>50400000</v>
      </c>
      <c r="AE128" s="195">
        <f>T128+AD128</f>
        <v>152760000</v>
      </c>
      <c r="AF128" s="155"/>
      <c r="AG128" s="191"/>
      <c r="AH128" s="153"/>
      <c r="AI128" s="153"/>
      <c r="AJ128" s="153"/>
      <c r="AK128" s="23" t="s">
        <v>654</v>
      </c>
    </row>
    <row r="129" spans="1:36" s="3" customFormat="1" ht="37.5" customHeight="1">
      <c r="A129" s="230">
        <v>21</v>
      </c>
      <c r="B129" s="248" t="s">
        <v>627</v>
      </c>
      <c r="C129" s="184"/>
      <c r="D129" s="238">
        <v>64</v>
      </c>
      <c r="E129" s="238">
        <v>436</v>
      </c>
      <c r="F129" s="238">
        <v>282.2</v>
      </c>
      <c r="G129" s="238" t="s">
        <v>28</v>
      </c>
      <c r="H129" s="243">
        <v>288</v>
      </c>
      <c r="I129" s="247">
        <f>F129-H129</f>
        <v>-5.8000000000000114</v>
      </c>
      <c r="J129" s="229">
        <v>288</v>
      </c>
      <c r="K129" s="229">
        <v>1080</v>
      </c>
      <c r="L129" s="184"/>
      <c r="M129" s="233">
        <f>J129/K129*100</f>
        <v>26.666666666666668</v>
      </c>
      <c r="N129" s="229">
        <v>5</v>
      </c>
      <c r="O129" s="229">
        <v>4</v>
      </c>
      <c r="P129" s="229">
        <v>80000</v>
      </c>
      <c r="Q129" s="229">
        <f>P129*J129</f>
        <v>23040000</v>
      </c>
      <c r="R129" s="229">
        <f>Q129*3</f>
        <v>69120000</v>
      </c>
      <c r="S129" s="229">
        <f>N129*O129*S6</f>
        <v>10200000</v>
      </c>
      <c r="T129" s="229">
        <f>SUM(Q129:S133)</f>
        <v>102360000</v>
      </c>
      <c r="U129" s="182" t="s">
        <v>420</v>
      </c>
      <c r="V129" s="191">
        <v>20</v>
      </c>
      <c r="W129" s="191">
        <f>J129/V129</f>
        <v>14.4</v>
      </c>
      <c r="X129" s="164" t="s">
        <v>2</v>
      </c>
      <c r="Y129" s="161">
        <v>20</v>
      </c>
      <c r="Z129" s="183"/>
      <c r="AA129" s="214"/>
      <c r="AB129" s="216"/>
      <c r="AC129" s="161"/>
      <c r="AD129" s="243">
        <f>SUM(AC129:AC133)</f>
        <v>42875000</v>
      </c>
      <c r="AE129" s="228">
        <f>T129+AD129</f>
        <v>145235000</v>
      </c>
      <c r="AF129" s="155"/>
      <c r="AG129" s="153"/>
      <c r="AH129" s="153"/>
      <c r="AI129" s="153"/>
      <c r="AJ129" s="153"/>
    </row>
    <row r="130" spans="1:36" s="3" customFormat="1" ht="21.75" customHeight="1">
      <c r="A130" s="230"/>
      <c r="B130" s="248"/>
      <c r="C130" s="184"/>
      <c r="D130" s="238"/>
      <c r="E130" s="238"/>
      <c r="F130" s="238"/>
      <c r="G130" s="238"/>
      <c r="H130" s="243"/>
      <c r="I130" s="247"/>
      <c r="J130" s="229"/>
      <c r="K130" s="229"/>
      <c r="L130" s="184"/>
      <c r="M130" s="233"/>
      <c r="N130" s="229"/>
      <c r="O130" s="229"/>
      <c r="P130" s="229"/>
      <c r="Q130" s="229"/>
      <c r="R130" s="229"/>
      <c r="S130" s="229"/>
      <c r="T130" s="229"/>
      <c r="U130" s="186" t="s">
        <v>421</v>
      </c>
      <c r="V130" s="191"/>
      <c r="W130" s="191"/>
      <c r="X130" s="164" t="s">
        <v>2</v>
      </c>
      <c r="Y130" s="161">
        <v>14</v>
      </c>
      <c r="Z130" s="183">
        <v>2500000</v>
      </c>
      <c r="AA130" s="214"/>
      <c r="AB130" s="216">
        <v>1</v>
      </c>
      <c r="AC130" s="161">
        <f>Y130*Z130*AB130</f>
        <v>35000000</v>
      </c>
      <c r="AD130" s="243"/>
      <c r="AE130" s="228"/>
      <c r="AF130" s="155"/>
      <c r="AG130" s="153"/>
      <c r="AH130" s="153"/>
      <c r="AI130" s="153"/>
      <c r="AJ130" s="153"/>
    </row>
    <row r="131" spans="1:36" s="3" customFormat="1" ht="23.25" customHeight="1">
      <c r="A131" s="230"/>
      <c r="B131" s="248"/>
      <c r="C131" s="184"/>
      <c r="D131" s="238"/>
      <c r="E131" s="238"/>
      <c r="F131" s="238"/>
      <c r="G131" s="238"/>
      <c r="H131" s="243"/>
      <c r="I131" s="247"/>
      <c r="J131" s="229"/>
      <c r="K131" s="229"/>
      <c r="L131" s="184"/>
      <c r="M131" s="233"/>
      <c r="N131" s="229"/>
      <c r="O131" s="229"/>
      <c r="P131" s="229"/>
      <c r="Q131" s="229"/>
      <c r="R131" s="229"/>
      <c r="S131" s="229"/>
      <c r="T131" s="229"/>
      <c r="U131" s="186" t="s">
        <v>423</v>
      </c>
      <c r="V131" s="191"/>
      <c r="W131" s="191">
        <f>0.3*W129</f>
        <v>4.32</v>
      </c>
      <c r="X131" s="164" t="s">
        <v>2</v>
      </c>
      <c r="Y131" s="161">
        <v>4</v>
      </c>
      <c r="Z131" s="183">
        <v>2500000</v>
      </c>
      <c r="AA131" s="214"/>
      <c r="AB131" s="216">
        <v>0.5</v>
      </c>
      <c r="AC131" s="161">
        <f t="shared" ref="AC131:AC133" si="18">Y131*Z131*AB131</f>
        <v>5000000</v>
      </c>
      <c r="AD131" s="243"/>
      <c r="AE131" s="228"/>
      <c r="AF131" s="155"/>
      <c r="AG131" s="153"/>
      <c r="AH131" s="153"/>
      <c r="AI131" s="153"/>
      <c r="AJ131" s="153"/>
    </row>
    <row r="132" spans="1:36" s="3" customFormat="1" ht="23.25" customHeight="1">
      <c r="A132" s="230"/>
      <c r="B132" s="248"/>
      <c r="C132" s="184"/>
      <c r="D132" s="238"/>
      <c r="E132" s="238"/>
      <c r="F132" s="238"/>
      <c r="G132" s="238"/>
      <c r="H132" s="243"/>
      <c r="I132" s="247"/>
      <c r="J132" s="229"/>
      <c r="K132" s="229"/>
      <c r="L132" s="184"/>
      <c r="M132" s="233"/>
      <c r="N132" s="229"/>
      <c r="O132" s="229"/>
      <c r="P132" s="229"/>
      <c r="Q132" s="229"/>
      <c r="R132" s="229"/>
      <c r="S132" s="229"/>
      <c r="T132" s="229"/>
      <c r="U132" s="186" t="s">
        <v>424</v>
      </c>
      <c r="V132" s="191"/>
      <c r="W132" s="191"/>
      <c r="X132" s="164" t="s">
        <v>2</v>
      </c>
      <c r="Y132" s="161">
        <f>Y129-Y130-Y131</f>
        <v>2</v>
      </c>
      <c r="Z132" s="183">
        <v>2500000</v>
      </c>
      <c r="AA132" s="214"/>
      <c r="AB132" s="216">
        <v>0</v>
      </c>
      <c r="AC132" s="161">
        <f t="shared" si="18"/>
        <v>0</v>
      </c>
      <c r="AD132" s="243"/>
      <c r="AE132" s="228"/>
      <c r="AF132" s="155"/>
      <c r="AG132" s="153"/>
      <c r="AH132" s="153"/>
      <c r="AI132" s="153"/>
      <c r="AJ132" s="153"/>
    </row>
    <row r="133" spans="1:36" s="3" customFormat="1" ht="23.25" customHeight="1">
      <c r="A133" s="230"/>
      <c r="B133" s="248"/>
      <c r="C133" s="184"/>
      <c r="D133" s="238"/>
      <c r="E133" s="238"/>
      <c r="F133" s="238"/>
      <c r="G133" s="238"/>
      <c r="H133" s="243"/>
      <c r="I133" s="247"/>
      <c r="J133" s="229"/>
      <c r="K133" s="229"/>
      <c r="L133" s="184"/>
      <c r="M133" s="233"/>
      <c r="N133" s="229"/>
      <c r="O133" s="229"/>
      <c r="P133" s="229"/>
      <c r="Q133" s="229"/>
      <c r="R133" s="229"/>
      <c r="S133" s="229"/>
      <c r="T133" s="229"/>
      <c r="U133" s="190" t="s">
        <v>560</v>
      </c>
      <c r="V133" s="188"/>
      <c r="W133" s="188"/>
      <c r="X133" s="174" t="s">
        <v>6</v>
      </c>
      <c r="Y133" s="161">
        <v>230</v>
      </c>
      <c r="Z133" s="183">
        <v>12500</v>
      </c>
      <c r="AA133" s="214"/>
      <c r="AB133" s="216">
        <v>1</v>
      </c>
      <c r="AC133" s="161">
        <f t="shared" si="18"/>
        <v>2875000</v>
      </c>
      <c r="AD133" s="243"/>
      <c r="AE133" s="228"/>
      <c r="AF133" s="155"/>
      <c r="AG133" s="153"/>
      <c r="AH133" s="153"/>
      <c r="AI133" s="153"/>
      <c r="AJ133" s="153"/>
    </row>
    <row r="134" spans="1:36" s="3" customFormat="1" ht="37.5" customHeight="1">
      <c r="A134" s="230">
        <v>22</v>
      </c>
      <c r="B134" s="248" t="s">
        <v>631</v>
      </c>
      <c r="C134" s="184"/>
      <c r="D134" s="238">
        <v>64</v>
      </c>
      <c r="E134" s="238">
        <v>437</v>
      </c>
      <c r="F134" s="238">
        <v>176.7</v>
      </c>
      <c r="G134" s="238" t="s">
        <v>28</v>
      </c>
      <c r="H134" s="243">
        <v>180</v>
      </c>
      <c r="I134" s="247">
        <f>F134-H134</f>
        <v>-3.3000000000000114</v>
      </c>
      <c r="J134" s="229">
        <v>180</v>
      </c>
      <c r="K134" s="229">
        <v>180</v>
      </c>
      <c r="L134" s="184"/>
      <c r="M134" s="233">
        <f>J134/K134*100</f>
        <v>100</v>
      </c>
      <c r="N134" s="229">
        <v>12</v>
      </c>
      <c r="O134" s="229">
        <v>3</v>
      </c>
      <c r="P134" s="229">
        <v>80000</v>
      </c>
      <c r="Q134" s="229">
        <f>P134*J134</f>
        <v>14400000</v>
      </c>
      <c r="R134" s="229">
        <f>Q134*3</f>
        <v>43200000</v>
      </c>
      <c r="S134" s="229">
        <f>N134*O134*S6</f>
        <v>18360000</v>
      </c>
      <c r="T134" s="229">
        <f>SUM(Q134:S138)</f>
        <v>75960000</v>
      </c>
      <c r="U134" s="182" t="s">
        <v>457</v>
      </c>
      <c r="V134" s="191">
        <v>25</v>
      </c>
      <c r="W134" s="191">
        <f>J134/V134</f>
        <v>7.2</v>
      </c>
      <c r="X134" s="164" t="s">
        <v>2</v>
      </c>
      <c r="Y134" s="161">
        <v>5</v>
      </c>
      <c r="Z134" s="183"/>
      <c r="AA134" s="208"/>
      <c r="AB134" s="197"/>
      <c r="AC134" s="161"/>
      <c r="AD134" s="243">
        <f>SUM(AC134:AC138)</f>
        <v>30500000</v>
      </c>
      <c r="AE134" s="228">
        <f>T134+AD134</f>
        <v>106460000</v>
      </c>
      <c r="AF134" s="155" t="s">
        <v>428</v>
      </c>
      <c r="AG134" s="153"/>
      <c r="AH134" s="153"/>
      <c r="AI134" s="153"/>
      <c r="AJ134" s="153"/>
    </row>
    <row r="135" spans="1:36" s="3" customFormat="1" ht="23.25" customHeight="1">
      <c r="A135" s="230"/>
      <c r="B135" s="248"/>
      <c r="C135" s="184"/>
      <c r="D135" s="238"/>
      <c r="E135" s="238"/>
      <c r="F135" s="238"/>
      <c r="G135" s="238"/>
      <c r="H135" s="243"/>
      <c r="I135" s="247"/>
      <c r="J135" s="229"/>
      <c r="K135" s="229"/>
      <c r="L135" s="184"/>
      <c r="M135" s="233"/>
      <c r="N135" s="229"/>
      <c r="O135" s="229"/>
      <c r="P135" s="229"/>
      <c r="Q135" s="229"/>
      <c r="R135" s="229"/>
      <c r="S135" s="229"/>
      <c r="T135" s="229"/>
      <c r="U135" s="186" t="s">
        <v>421</v>
      </c>
      <c r="V135" s="191"/>
      <c r="W135" s="191"/>
      <c r="X135" s="164" t="s">
        <v>2</v>
      </c>
      <c r="Y135" s="161">
        <v>5</v>
      </c>
      <c r="Z135" s="183">
        <v>4500000</v>
      </c>
      <c r="AA135" s="214"/>
      <c r="AB135" s="216">
        <v>1</v>
      </c>
      <c r="AC135" s="161">
        <f>Y135*Z135*AB135</f>
        <v>22500000</v>
      </c>
      <c r="AD135" s="243"/>
      <c r="AE135" s="228"/>
      <c r="AF135" s="155"/>
      <c r="AG135" s="153"/>
      <c r="AH135" s="153"/>
      <c r="AI135" s="153"/>
      <c r="AJ135" s="153"/>
    </row>
    <row r="136" spans="1:36" s="3" customFormat="1" ht="37.5" customHeight="1">
      <c r="A136" s="230"/>
      <c r="B136" s="248"/>
      <c r="C136" s="184"/>
      <c r="D136" s="238"/>
      <c r="E136" s="238"/>
      <c r="F136" s="238"/>
      <c r="G136" s="238"/>
      <c r="H136" s="243"/>
      <c r="I136" s="247"/>
      <c r="J136" s="229"/>
      <c r="K136" s="229"/>
      <c r="L136" s="184"/>
      <c r="M136" s="233"/>
      <c r="N136" s="229"/>
      <c r="O136" s="229"/>
      <c r="P136" s="229"/>
      <c r="Q136" s="229"/>
      <c r="R136" s="229"/>
      <c r="S136" s="229"/>
      <c r="T136" s="229"/>
      <c r="U136" s="182" t="s">
        <v>460</v>
      </c>
      <c r="V136" s="191">
        <v>20</v>
      </c>
      <c r="W136" s="191">
        <f>J134/V136</f>
        <v>9</v>
      </c>
      <c r="X136" s="164" t="s">
        <v>2</v>
      </c>
      <c r="Y136" s="161">
        <v>5</v>
      </c>
      <c r="Z136" s="183"/>
      <c r="AA136" s="214"/>
      <c r="AB136" s="216"/>
      <c r="AC136" s="161"/>
      <c r="AD136" s="243"/>
      <c r="AE136" s="228"/>
      <c r="AF136" s="155"/>
      <c r="AG136" s="153"/>
      <c r="AH136" s="153"/>
      <c r="AI136" s="153"/>
      <c r="AJ136" s="153"/>
    </row>
    <row r="137" spans="1:36" s="3" customFormat="1" ht="21.75" customHeight="1">
      <c r="A137" s="230"/>
      <c r="B137" s="248"/>
      <c r="C137" s="184"/>
      <c r="D137" s="238"/>
      <c r="E137" s="238"/>
      <c r="F137" s="238"/>
      <c r="G137" s="238"/>
      <c r="H137" s="243"/>
      <c r="I137" s="247"/>
      <c r="J137" s="229"/>
      <c r="K137" s="229"/>
      <c r="L137" s="184"/>
      <c r="M137" s="233"/>
      <c r="N137" s="229"/>
      <c r="O137" s="229"/>
      <c r="P137" s="229"/>
      <c r="Q137" s="229"/>
      <c r="R137" s="229"/>
      <c r="S137" s="229"/>
      <c r="T137" s="229"/>
      <c r="U137" s="186" t="s">
        <v>421</v>
      </c>
      <c r="V137" s="191"/>
      <c r="W137" s="191"/>
      <c r="X137" s="164" t="s">
        <v>2</v>
      </c>
      <c r="Y137" s="161">
        <v>5</v>
      </c>
      <c r="Z137" s="183">
        <v>2500000</v>
      </c>
      <c r="AA137" s="214"/>
      <c r="AB137" s="216">
        <v>0.5</v>
      </c>
      <c r="AC137" s="161">
        <f>Y137*Z137*AB137</f>
        <v>6250000</v>
      </c>
      <c r="AD137" s="243"/>
      <c r="AE137" s="228"/>
      <c r="AF137" s="155"/>
      <c r="AG137" s="153"/>
      <c r="AH137" s="153"/>
      <c r="AI137" s="153"/>
      <c r="AJ137" s="153"/>
    </row>
    <row r="138" spans="1:36" s="3" customFormat="1" ht="23.25" customHeight="1">
      <c r="A138" s="230"/>
      <c r="B138" s="248"/>
      <c r="C138" s="184"/>
      <c r="D138" s="238"/>
      <c r="E138" s="238"/>
      <c r="F138" s="238"/>
      <c r="G138" s="238"/>
      <c r="H138" s="243"/>
      <c r="I138" s="247"/>
      <c r="J138" s="229"/>
      <c r="K138" s="229"/>
      <c r="L138" s="184"/>
      <c r="M138" s="233"/>
      <c r="N138" s="229"/>
      <c r="O138" s="229"/>
      <c r="P138" s="229"/>
      <c r="Q138" s="229"/>
      <c r="R138" s="229"/>
      <c r="S138" s="229"/>
      <c r="T138" s="229"/>
      <c r="U138" s="190" t="s">
        <v>560</v>
      </c>
      <c r="V138" s="188"/>
      <c r="W138" s="188"/>
      <c r="X138" s="174" t="s">
        <v>6</v>
      </c>
      <c r="Y138" s="161">
        <v>140</v>
      </c>
      <c r="Z138" s="183">
        <v>12500</v>
      </c>
      <c r="AA138" s="214"/>
      <c r="AB138" s="216">
        <v>1</v>
      </c>
      <c r="AC138" s="161">
        <f t="shared" ref="AC138:AC142" si="19">Y138*Z138*AB138</f>
        <v>1750000</v>
      </c>
      <c r="AD138" s="243"/>
      <c r="AE138" s="228"/>
      <c r="AF138" s="155"/>
      <c r="AG138" s="153"/>
      <c r="AH138" s="153"/>
      <c r="AI138" s="153"/>
      <c r="AJ138" s="153"/>
    </row>
    <row r="139" spans="1:36" s="3" customFormat="1" ht="23.25" customHeight="1">
      <c r="A139" s="230">
        <v>23</v>
      </c>
      <c r="B139" s="235" t="s">
        <v>461</v>
      </c>
      <c r="C139" s="238" t="s">
        <v>39</v>
      </c>
      <c r="D139" s="238">
        <v>64</v>
      </c>
      <c r="E139" s="238">
        <v>412</v>
      </c>
      <c r="F139" s="238">
        <v>537.20000000000005</v>
      </c>
      <c r="G139" s="238" t="s">
        <v>28</v>
      </c>
      <c r="H139" s="238">
        <v>540</v>
      </c>
      <c r="I139" s="238">
        <f>F139-H139</f>
        <v>-2.7999999999999545</v>
      </c>
      <c r="J139" s="243">
        <f>H139+H145+H143</f>
        <v>1350</v>
      </c>
      <c r="K139" s="243">
        <v>1440</v>
      </c>
      <c r="L139" s="238"/>
      <c r="M139" s="244">
        <f>J139/K139*100</f>
        <v>93.75</v>
      </c>
      <c r="N139" s="245">
        <v>12</v>
      </c>
      <c r="O139" s="245">
        <v>6</v>
      </c>
      <c r="P139" s="243">
        <v>80000</v>
      </c>
      <c r="Q139" s="243">
        <f>P139*J139</f>
        <v>108000000</v>
      </c>
      <c r="R139" s="243">
        <f>Q139*3</f>
        <v>324000000</v>
      </c>
      <c r="S139" s="243">
        <f>N139*O139*S6</f>
        <v>36720000</v>
      </c>
      <c r="T139" s="243">
        <f>SUM(Q139:S150)</f>
        <v>468720000</v>
      </c>
      <c r="U139" s="210" t="s">
        <v>446</v>
      </c>
      <c r="V139" s="191"/>
      <c r="W139" s="191"/>
      <c r="X139" s="164" t="s">
        <v>0</v>
      </c>
      <c r="Y139" s="215">
        <f>540-3</f>
        <v>537</v>
      </c>
      <c r="Z139" s="183">
        <v>180000</v>
      </c>
      <c r="AA139" s="209"/>
      <c r="AB139" s="197">
        <v>1</v>
      </c>
      <c r="AC139" s="161">
        <f t="shared" si="19"/>
        <v>96660000</v>
      </c>
      <c r="AD139" s="243">
        <f>SUM(AC139:AC142)</f>
        <v>96660000</v>
      </c>
      <c r="AE139" s="228">
        <f>AD139+AD143+AD145+T139</f>
        <v>711630000</v>
      </c>
      <c r="AF139" s="155"/>
      <c r="AG139" s="153"/>
      <c r="AH139" s="153"/>
      <c r="AI139" s="153"/>
      <c r="AJ139" s="153"/>
    </row>
    <row r="140" spans="1:36" s="3" customFormat="1" ht="51" customHeight="1">
      <c r="A140" s="230"/>
      <c r="B140" s="235"/>
      <c r="C140" s="238"/>
      <c r="D140" s="238"/>
      <c r="E140" s="238"/>
      <c r="F140" s="238"/>
      <c r="G140" s="238"/>
      <c r="H140" s="238"/>
      <c r="I140" s="238"/>
      <c r="J140" s="243"/>
      <c r="K140" s="243"/>
      <c r="L140" s="238"/>
      <c r="M140" s="244"/>
      <c r="N140" s="245"/>
      <c r="O140" s="245"/>
      <c r="P140" s="243"/>
      <c r="Q140" s="243"/>
      <c r="R140" s="243"/>
      <c r="S140" s="243"/>
      <c r="T140" s="243"/>
      <c r="U140" s="173" t="s">
        <v>462</v>
      </c>
      <c r="V140" s="191"/>
      <c r="W140" s="191"/>
      <c r="X140" s="164" t="s">
        <v>0</v>
      </c>
      <c r="Y140" s="161">
        <v>25</v>
      </c>
      <c r="Z140" s="183"/>
      <c r="AA140" s="208"/>
      <c r="AB140" s="216">
        <v>0</v>
      </c>
      <c r="AC140" s="161">
        <f t="shared" si="19"/>
        <v>0</v>
      </c>
      <c r="AD140" s="243"/>
      <c r="AE140" s="228"/>
      <c r="AF140" s="155"/>
      <c r="AG140" s="153"/>
      <c r="AH140" s="153"/>
      <c r="AI140" s="153"/>
      <c r="AJ140" s="153"/>
    </row>
    <row r="141" spans="1:36" s="3" customFormat="1" ht="37.5" customHeight="1">
      <c r="A141" s="230"/>
      <c r="B141" s="235"/>
      <c r="C141" s="164"/>
      <c r="D141" s="238"/>
      <c r="E141" s="238"/>
      <c r="F141" s="238"/>
      <c r="G141" s="238"/>
      <c r="H141" s="238"/>
      <c r="I141" s="238"/>
      <c r="J141" s="243"/>
      <c r="K141" s="243"/>
      <c r="L141" s="164"/>
      <c r="M141" s="244"/>
      <c r="N141" s="245"/>
      <c r="O141" s="245"/>
      <c r="P141" s="243"/>
      <c r="Q141" s="243"/>
      <c r="R141" s="243"/>
      <c r="S141" s="243"/>
      <c r="T141" s="243"/>
      <c r="U141" s="173" t="s">
        <v>463</v>
      </c>
      <c r="V141" s="191"/>
      <c r="W141" s="191"/>
      <c r="X141" s="164" t="s">
        <v>689</v>
      </c>
      <c r="Y141" s="161">
        <v>3</v>
      </c>
      <c r="Z141" s="183"/>
      <c r="AA141" s="208"/>
      <c r="AB141" s="216">
        <v>0</v>
      </c>
      <c r="AC141" s="161">
        <f t="shared" si="19"/>
        <v>0</v>
      </c>
      <c r="AD141" s="243"/>
      <c r="AE141" s="228"/>
      <c r="AF141" s="155"/>
      <c r="AG141" s="153"/>
      <c r="AH141" s="153"/>
      <c r="AI141" s="153"/>
      <c r="AJ141" s="153"/>
    </row>
    <row r="142" spans="1:36" s="3" customFormat="1" ht="26.25" customHeight="1">
      <c r="A142" s="230"/>
      <c r="B142" s="235"/>
      <c r="C142" s="164"/>
      <c r="D142" s="238"/>
      <c r="E142" s="238"/>
      <c r="F142" s="238"/>
      <c r="G142" s="238"/>
      <c r="H142" s="238"/>
      <c r="I142" s="238"/>
      <c r="J142" s="243"/>
      <c r="K142" s="243"/>
      <c r="L142" s="164"/>
      <c r="M142" s="244"/>
      <c r="N142" s="245"/>
      <c r="O142" s="245"/>
      <c r="P142" s="243"/>
      <c r="Q142" s="243"/>
      <c r="R142" s="243"/>
      <c r="S142" s="243"/>
      <c r="T142" s="243"/>
      <c r="U142" s="173" t="s">
        <v>464</v>
      </c>
      <c r="V142" s="191"/>
      <c r="W142" s="191"/>
      <c r="X142" s="164" t="s">
        <v>3</v>
      </c>
      <c r="Y142" s="161">
        <v>1</v>
      </c>
      <c r="Z142" s="183"/>
      <c r="AA142" s="208"/>
      <c r="AB142" s="216">
        <v>0</v>
      </c>
      <c r="AC142" s="161">
        <f t="shared" si="19"/>
        <v>0</v>
      </c>
      <c r="AD142" s="243"/>
      <c r="AE142" s="228"/>
      <c r="AF142" s="155"/>
      <c r="AG142" s="153"/>
      <c r="AH142" s="153"/>
      <c r="AI142" s="153"/>
      <c r="AJ142" s="153"/>
    </row>
    <row r="143" spans="1:36" s="3" customFormat="1" ht="37.5" customHeight="1">
      <c r="A143" s="230"/>
      <c r="B143" s="235"/>
      <c r="C143" s="190"/>
      <c r="D143" s="238">
        <v>64</v>
      </c>
      <c r="E143" s="238">
        <v>431</v>
      </c>
      <c r="F143" s="238">
        <v>353</v>
      </c>
      <c r="G143" s="238" t="s">
        <v>28</v>
      </c>
      <c r="H143" s="238">
        <v>360</v>
      </c>
      <c r="I143" s="238">
        <f>F143-H143</f>
        <v>-7</v>
      </c>
      <c r="J143" s="243"/>
      <c r="K143" s="243"/>
      <c r="L143" s="164"/>
      <c r="M143" s="244"/>
      <c r="N143" s="245"/>
      <c r="O143" s="245"/>
      <c r="P143" s="243"/>
      <c r="Q143" s="243"/>
      <c r="R143" s="243"/>
      <c r="S143" s="243"/>
      <c r="T143" s="243"/>
      <c r="U143" s="182" t="s">
        <v>622</v>
      </c>
      <c r="V143" s="191">
        <v>25</v>
      </c>
      <c r="W143" s="191">
        <f>H143/V143</f>
        <v>14.4</v>
      </c>
      <c r="X143" s="164" t="s">
        <v>2</v>
      </c>
      <c r="Y143" s="161">
        <v>14</v>
      </c>
      <c r="Z143" s="183"/>
      <c r="AA143" s="208"/>
      <c r="AB143" s="197"/>
      <c r="AC143" s="161"/>
      <c r="AD143" s="243">
        <f>SUM(AC143:AC144)</f>
        <v>63000000</v>
      </c>
      <c r="AE143" s="228"/>
      <c r="AF143" s="155"/>
      <c r="AG143" s="153"/>
      <c r="AH143" s="153"/>
      <c r="AI143" s="153"/>
      <c r="AJ143" s="153"/>
    </row>
    <row r="144" spans="1:36" s="3" customFormat="1" ht="21" customHeight="1">
      <c r="A144" s="230"/>
      <c r="B144" s="235"/>
      <c r="C144" s="190"/>
      <c r="D144" s="238"/>
      <c r="E144" s="238"/>
      <c r="F144" s="238"/>
      <c r="G144" s="238"/>
      <c r="H144" s="238"/>
      <c r="I144" s="238"/>
      <c r="J144" s="243"/>
      <c r="K144" s="243"/>
      <c r="L144" s="164"/>
      <c r="M144" s="244"/>
      <c r="N144" s="245"/>
      <c r="O144" s="245"/>
      <c r="P144" s="243"/>
      <c r="Q144" s="243"/>
      <c r="R144" s="243"/>
      <c r="S144" s="243"/>
      <c r="T144" s="243"/>
      <c r="U144" s="186" t="s">
        <v>421</v>
      </c>
      <c r="V144" s="191"/>
      <c r="W144" s="191"/>
      <c r="X144" s="164" t="s">
        <v>2</v>
      </c>
      <c r="Y144" s="161">
        <v>14</v>
      </c>
      <c r="Z144" s="183">
        <v>4500000</v>
      </c>
      <c r="AA144" s="208"/>
      <c r="AB144" s="197">
        <v>1</v>
      </c>
      <c r="AC144" s="161">
        <f t="shared" ref="AC144:AC147" si="20">Y144*Z144*AB144</f>
        <v>63000000</v>
      </c>
      <c r="AD144" s="243"/>
      <c r="AE144" s="228"/>
      <c r="AF144" s="155"/>
      <c r="AG144" s="153"/>
      <c r="AH144" s="153"/>
      <c r="AI144" s="153"/>
      <c r="AJ144" s="153"/>
    </row>
    <row r="145" spans="1:36" s="3" customFormat="1" ht="33" customHeight="1">
      <c r="A145" s="230"/>
      <c r="B145" s="235"/>
      <c r="C145" s="230"/>
      <c r="D145" s="230">
        <v>64</v>
      </c>
      <c r="E145" s="230">
        <v>432</v>
      </c>
      <c r="F145" s="230">
        <v>441.8</v>
      </c>
      <c r="G145" s="230" t="s">
        <v>28</v>
      </c>
      <c r="H145" s="229">
        <v>450</v>
      </c>
      <c r="I145" s="242">
        <f>F145-H145</f>
        <v>-8.1999999999999886</v>
      </c>
      <c r="J145" s="243"/>
      <c r="K145" s="243"/>
      <c r="L145" s="242"/>
      <c r="M145" s="244"/>
      <c r="N145" s="245"/>
      <c r="O145" s="245"/>
      <c r="P145" s="243"/>
      <c r="Q145" s="243"/>
      <c r="R145" s="243"/>
      <c r="S145" s="243"/>
      <c r="T145" s="243"/>
      <c r="U145" s="182" t="s">
        <v>622</v>
      </c>
      <c r="V145" s="191">
        <f>400/10000</f>
        <v>0.04</v>
      </c>
      <c r="W145" s="191">
        <f>V145*H145</f>
        <v>18</v>
      </c>
      <c r="X145" s="164" t="s">
        <v>2</v>
      </c>
      <c r="Y145" s="161">
        <v>19</v>
      </c>
      <c r="Z145" s="183"/>
      <c r="AA145" s="208"/>
      <c r="AB145" s="197"/>
      <c r="AC145" s="161">
        <f t="shared" si="20"/>
        <v>0</v>
      </c>
      <c r="AD145" s="243">
        <f>SUM(AC145:AC150)</f>
        <v>83250000</v>
      </c>
      <c r="AE145" s="228"/>
      <c r="AF145" s="155" t="s">
        <v>401</v>
      </c>
      <c r="AG145" s="153"/>
      <c r="AH145" s="153"/>
      <c r="AI145" s="153"/>
      <c r="AJ145" s="153"/>
    </row>
    <row r="146" spans="1:36" s="3" customFormat="1" ht="22.5" customHeight="1">
      <c r="A146" s="230"/>
      <c r="B146" s="235"/>
      <c r="C146" s="230"/>
      <c r="D146" s="230"/>
      <c r="E146" s="230"/>
      <c r="F146" s="230"/>
      <c r="G146" s="230"/>
      <c r="H146" s="229"/>
      <c r="I146" s="242"/>
      <c r="J146" s="243"/>
      <c r="K146" s="243"/>
      <c r="L146" s="242"/>
      <c r="M146" s="244"/>
      <c r="N146" s="245"/>
      <c r="O146" s="245"/>
      <c r="P146" s="243"/>
      <c r="Q146" s="243"/>
      <c r="R146" s="243"/>
      <c r="S146" s="243"/>
      <c r="T146" s="243"/>
      <c r="U146" s="186" t="s">
        <v>421</v>
      </c>
      <c r="V146" s="191"/>
      <c r="W146" s="191"/>
      <c r="X146" s="164" t="s">
        <v>2</v>
      </c>
      <c r="Y146" s="161">
        <v>18</v>
      </c>
      <c r="Z146" s="183">
        <v>4500000</v>
      </c>
      <c r="AA146" s="208"/>
      <c r="AB146" s="197">
        <v>1</v>
      </c>
      <c r="AC146" s="161">
        <f t="shared" si="20"/>
        <v>81000000</v>
      </c>
      <c r="AD146" s="243"/>
      <c r="AE146" s="228"/>
      <c r="AF146" s="155"/>
      <c r="AG146" s="153"/>
      <c r="AH146" s="153"/>
      <c r="AI146" s="153"/>
      <c r="AJ146" s="153"/>
    </row>
    <row r="147" spans="1:36" s="3" customFormat="1" ht="22.5" customHeight="1">
      <c r="A147" s="230"/>
      <c r="B147" s="235"/>
      <c r="C147" s="230"/>
      <c r="D147" s="230"/>
      <c r="E147" s="230"/>
      <c r="F147" s="230"/>
      <c r="G147" s="230"/>
      <c r="H147" s="229"/>
      <c r="I147" s="242"/>
      <c r="J147" s="243"/>
      <c r="K147" s="243"/>
      <c r="L147" s="242"/>
      <c r="M147" s="244"/>
      <c r="N147" s="245"/>
      <c r="O147" s="245"/>
      <c r="P147" s="243"/>
      <c r="Q147" s="243"/>
      <c r="R147" s="243"/>
      <c r="S147" s="243"/>
      <c r="T147" s="243"/>
      <c r="U147" s="186" t="s">
        <v>423</v>
      </c>
      <c r="V147" s="191"/>
      <c r="W147" s="191"/>
      <c r="X147" s="164" t="s">
        <v>2</v>
      </c>
      <c r="Y147" s="161">
        <v>1</v>
      </c>
      <c r="Z147" s="183">
        <v>4500000</v>
      </c>
      <c r="AA147" s="214"/>
      <c r="AB147" s="197">
        <v>0.5</v>
      </c>
      <c r="AC147" s="161">
        <f t="shared" si="20"/>
        <v>2250000</v>
      </c>
      <c r="AD147" s="243"/>
      <c r="AE147" s="228"/>
      <c r="AF147" s="155"/>
      <c r="AG147" s="153"/>
      <c r="AH147" s="153"/>
      <c r="AI147" s="153"/>
      <c r="AJ147" s="153"/>
    </row>
    <row r="148" spans="1:36" s="3" customFormat="1" ht="50.25" customHeight="1">
      <c r="A148" s="230"/>
      <c r="B148" s="235"/>
      <c r="C148" s="230"/>
      <c r="D148" s="230"/>
      <c r="E148" s="230"/>
      <c r="F148" s="230"/>
      <c r="G148" s="230"/>
      <c r="H148" s="229"/>
      <c r="I148" s="242"/>
      <c r="J148" s="243"/>
      <c r="K148" s="243"/>
      <c r="L148" s="242"/>
      <c r="M148" s="244"/>
      <c r="N148" s="245"/>
      <c r="O148" s="245"/>
      <c r="P148" s="243"/>
      <c r="Q148" s="243"/>
      <c r="R148" s="243"/>
      <c r="S148" s="243"/>
      <c r="T148" s="243"/>
      <c r="U148" s="173" t="s">
        <v>462</v>
      </c>
      <c r="V148" s="191"/>
      <c r="W148" s="191"/>
      <c r="X148" s="164" t="s">
        <v>0</v>
      </c>
      <c r="Y148" s="161">
        <v>23</v>
      </c>
      <c r="Z148" s="183"/>
      <c r="AA148" s="208"/>
      <c r="AB148" s="216">
        <v>0</v>
      </c>
      <c r="AC148" s="161"/>
      <c r="AD148" s="243"/>
      <c r="AE148" s="228"/>
      <c r="AF148" s="155"/>
      <c r="AG148" s="153"/>
      <c r="AH148" s="153"/>
      <c r="AI148" s="153"/>
      <c r="AJ148" s="153"/>
    </row>
    <row r="149" spans="1:36" s="3" customFormat="1" ht="38.25" customHeight="1">
      <c r="A149" s="230"/>
      <c r="B149" s="235"/>
      <c r="C149" s="230"/>
      <c r="D149" s="230"/>
      <c r="E149" s="230"/>
      <c r="F149" s="230"/>
      <c r="G149" s="230"/>
      <c r="H149" s="229"/>
      <c r="I149" s="242"/>
      <c r="J149" s="243"/>
      <c r="K149" s="243"/>
      <c r="L149" s="242"/>
      <c r="M149" s="244"/>
      <c r="N149" s="245"/>
      <c r="O149" s="245"/>
      <c r="P149" s="243"/>
      <c r="Q149" s="243"/>
      <c r="R149" s="243"/>
      <c r="S149" s="243"/>
      <c r="T149" s="243"/>
      <c r="U149" s="173" t="s">
        <v>463</v>
      </c>
      <c r="V149" s="191"/>
      <c r="W149" s="191"/>
      <c r="X149" s="164" t="s">
        <v>689</v>
      </c>
      <c r="Y149" s="161">
        <v>5</v>
      </c>
      <c r="Z149" s="183"/>
      <c r="AA149" s="208"/>
      <c r="AB149" s="216">
        <v>0</v>
      </c>
      <c r="AC149" s="161"/>
      <c r="AD149" s="243"/>
      <c r="AE149" s="228"/>
      <c r="AF149" s="155"/>
      <c r="AG149" s="153"/>
      <c r="AH149" s="153"/>
      <c r="AI149" s="153"/>
      <c r="AJ149" s="153"/>
    </row>
    <row r="150" spans="1:36" s="3" customFormat="1" ht="24.75" customHeight="1">
      <c r="A150" s="230"/>
      <c r="B150" s="235"/>
      <c r="C150" s="230"/>
      <c r="D150" s="230"/>
      <c r="E150" s="230"/>
      <c r="F150" s="230"/>
      <c r="G150" s="230"/>
      <c r="H150" s="229"/>
      <c r="I150" s="242"/>
      <c r="J150" s="243"/>
      <c r="K150" s="243"/>
      <c r="L150" s="242"/>
      <c r="M150" s="244"/>
      <c r="N150" s="245"/>
      <c r="O150" s="245"/>
      <c r="P150" s="243"/>
      <c r="Q150" s="243"/>
      <c r="R150" s="243"/>
      <c r="S150" s="243"/>
      <c r="T150" s="243"/>
      <c r="U150" s="173" t="s">
        <v>464</v>
      </c>
      <c r="V150" s="191"/>
      <c r="W150" s="191"/>
      <c r="X150" s="164" t="s">
        <v>3</v>
      </c>
      <c r="Y150" s="161">
        <v>1</v>
      </c>
      <c r="Z150" s="183"/>
      <c r="AA150" s="208"/>
      <c r="AB150" s="216">
        <v>0</v>
      </c>
      <c r="AC150" s="161"/>
      <c r="AD150" s="243"/>
      <c r="AE150" s="228"/>
      <c r="AF150" s="155"/>
      <c r="AG150" s="153"/>
      <c r="AH150" s="153"/>
      <c r="AI150" s="153"/>
      <c r="AJ150" s="153"/>
    </row>
    <row r="151" spans="1:36" s="19" customFormat="1" ht="37.5" customHeight="1">
      <c r="A151" s="230">
        <v>24</v>
      </c>
      <c r="B151" s="248" t="s">
        <v>466</v>
      </c>
      <c r="C151" s="184"/>
      <c r="D151" s="238">
        <v>64</v>
      </c>
      <c r="E151" s="238">
        <v>418</v>
      </c>
      <c r="F151" s="238">
        <v>1074.5999999999999</v>
      </c>
      <c r="G151" s="238" t="s">
        <v>28</v>
      </c>
      <c r="H151" s="243">
        <v>1080</v>
      </c>
      <c r="I151" s="247">
        <f>F151-H151</f>
        <v>-5.4000000000000909</v>
      </c>
      <c r="J151" s="229">
        <v>1080</v>
      </c>
      <c r="K151" s="229">
        <v>1440</v>
      </c>
      <c r="L151" s="184"/>
      <c r="M151" s="233">
        <f>J151/K151*100</f>
        <v>75</v>
      </c>
      <c r="N151" s="229">
        <v>12</v>
      </c>
      <c r="O151" s="229">
        <v>7</v>
      </c>
      <c r="P151" s="229">
        <v>80000</v>
      </c>
      <c r="Q151" s="229">
        <f>P151*J151</f>
        <v>86400000</v>
      </c>
      <c r="R151" s="229">
        <f>Q151*3</f>
        <v>259200000</v>
      </c>
      <c r="S151" s="229">
        <f>N151*O151*S6</f>
        <v>42840000</v>
      </c>
      <c r="T151" s="229">
        <f>SUM(Q151:S164)</f>
        <v>388440000</v>
      </c>
      <c r="U151" s="182" t="s">
        <v>457</v>
      </c>
      <c r="V151" s="191">
        <v>25</v>
      </c>
      <c r="W151" s="191">
        <f>(H151-Y153-6-1)/V151</f>
        <v>21.32</v>
      </c>
      <c r="X151" s="164" t="s">
        <v>2</v>
      </c>
      <c r="Y151" s="161">
        <v>14</v>
      </c>
      <c r="Z151" s="183"/>
      <c r="AA151" s="214"/>
      <c r="AB151" s="216"/>
      <c r="AC151" s="161"/>
      <c r="AD151" s="243">
        <f>SUM(AC151:AC164)</f>
        <v>173950000</v>
      </c>
      <c r="AE151" s="228">
        <f>T151+AD151</f>
        <v>562390000</v>
      </c>
      <c r="AF151" s="155" t="s">
        <v>428</v>
      </c>
      <c r="AG151" s="153"/>
      <c r="AH151" s="153"/>
      <c r="AI151" s="153"/>
      <c r="AJ151" s="153"/>
    </row>
    <row r="152" spans="1:36" s="19" customFormat="1" ht="21.75" customHeight="1">
      <c r="A152" s="230"/>
      <c r="B152" s="248"/>
      <c r="C152" s="184"/>
      <c r="D152" s="238"/>
      <c r="E152" s="238"/>
      <c r="F152" s="238"/>
      <c r="G152" s="238"/>
      <c r="H152" s="243"/>
      <c r="I152" s="247"/>
      <c r="J152" s="229"/>
      <c r="K152" s="229"/>
      <c r="L152" s="184"/>
      <c r="M152" s="233"/>
      <c r="N152" s="229"/>
      <c r="O152" s="229"/>
      <c r="P152" s="229"/>
      <c r="Q152" s="229"/>
      <c r="R152" s="229"/>
      <c r="S152" s="229"/>
      <c r="T152" s="229"/>
      <c r="U152" s="186" t="s">
        <v>421</v>
      </c>
      <c r="V152" s="191"/>
      <c r="W152" s="191"/>
      <c r="X152" s="164" t="s">
        <v>2</v>
      </c>
      <c r="Y152" s="161">
        <v>14</v>
      </c>
      <c r="Z152" s="183">
        <v>4500000</v>
      </c>
      <c r="AA152" s="214"/>
      <c r="AB152" s="216">
        <v>1</v>
      </c>
      <c r="AC152" s="161">
        <f>Y152*Z152*AB152</f>
        <v>63000000</v>
      </c>
      <c r="AD152" s="243"/>
      <c r="AE152" s="228"/>
      <c r="AF152" s="155"/>
      <c r="AG152" s="153"/>
      <c r="AH152" s="153"/>
      <c r="AI152" s="153"/>
      <c r="AJ152" s="153"/>
    </row>
    <row r="153" spans="1:36" s="19" customFormat="1" ht="21.75" customHeight="1">
      <c r="A153" s="230"/>
      <c r="B153" s="248"/>
      <c r="C153" s="184"/>
      <c r="D153" s="238"/>
      <c r="E153" s="238"/>
      <c r="F153" s="238"/>
      <c r="G153" s="238"/>
      <c r="H153" s="243"/>
      <c r="I153" s="247"/>
      <c r="J153" s="229"/>
      <c r="K153" s="229"/>
      <c r="L153" s="184"/>
      <c r="M153" s="233"/>
      <c r="N153" s="229"/>
      <c r="O153" s="229"/>
      <c r="P153" s="229"/>
      <c r="Q153" s="229"/>
      <c r="R153" s="229"/>
      <c r="S153" s="229"/>
      <c r="T153" s="229"/>
      <c r="U153" s="210" t="s">
        <v>467</v>
      </c>
      <c r="V153" s="191"/>
      <c r="W153" s="191"/>
      <c r="X153" s="164" t="s">
        <v>0</v>
      </c>
      <c r="Y153" s="215">
        <v>540</v>
      </c>
      <c r="Z153" s="183">
        <v>180000</v>
      </c>
      <c r="AA153" s="209"/>
      <c r="AB153" s="197">
        <v>1</v>
      </c>
      <c r="AC153" s="161">
        <f>Y153*Z153*AB153</f>
        <v>97200000</v>
      </c>
      <c r="AD153" s="243"/>
      <c r="AE153" s="228"/>
      <c r="AF153" s="155"/>
      <c r="AG153" s="153"/>
      <c r="AH153" s="153"/>
      <c r="AI153" s="153"/>
      <c r="AJ153" s="153"/>
    </row>
    <row r="154" spans="1:36" s="19" customFormat="1" ht="33.75" customHeight="1">
      <c r="A154" s="230"/>
      <c r="B154" s="248"/>
      <c r="C154" s="184"/>
      <c r="D154" s="238"/>
      <c r="E154" s="238"/>
      <c r="F154" s="238"/>
      <c r="G154" s="238"/>
      <c r="H154" s="243"/>
      <c r="I154" s="247"/>
      <c r="J154" s="229"/>
      <c r="K154" s="229"/>
      <c r="L154" s="184"/>
      <c r="M154" s="233"/>
      <c r="N154" s="229"/>
      <c r="O154" s="229"/>
      <c r="P154" s="229"/>
      <c r="Q154" s="229"/>
      <c r="R154" s="229"/>
      <c r="S154" s="229"/>
      <c r="T154" s="229"/>
      <c r="U154" s="182" t="s">
        <v>468</v>
      </c>
      <c r="V154" s="191"/>
      <c r="W154" s="191"/>
      <c r="X154" s="164" t="s">
        <v>2</v>
      </c>
      <c r="Y154" s="161">
        <v>5</v>
      </c>
      <c r="Z154" s="183"/>
      <c r="AA154" s="214"/>
      <c r="AB154" s="216"/>
      <c r="AC154" s="161">
        <f t="shared" ref="AC154:AC155" si="21">Y154*Z154*AB154</f>
        <v>0</v>
      </c>
      <c r="AD154" s="243"/>
      <c r="AE154" s="228"/>
      <c r="AF154" s="155"/>
      <c r="AG154" s="153"/>
      <c r="AH154" s="153"/>
      <c r="AI154" s="153"/>
      <c r="AJ154" s="153"/>
    </row>
    <row r="155" spans="1:36" s="19" customFormat="1" ht="21.75" customHeight="1">
      <c r="A155" s="230"/>
      <c r="B155" s="248"/>
      <c r="C155" s="184"/>
      <c r="D155" s="238"/>
      <c r="E155" s="238"/>
      <c r="F155" s="238"/>
      <c r="G155" s="238"/>
      <c r="H155" s="243"/>
      <c r="I155" s="247"/>
      <c r="J155" s="229"/>
      <c r="K155" s="229"/>
      <c r="L155" s="184"/>
      <c r="M155" s="233"/>
      <c r="N155" s="229"/>
      <c r="O155" s="229"/>
      <c r="P155" s="229"/>
      <c r="Q155" s="229"/>
      <c r="R155" s="229"/>
      <c r="S155" s="229"/>
      <c r="T155" s="229"/>
      <c r="U155" s="186" t="s">
        <v>421</v>
      </c>
      <c r="V155" s="191">
        <v>20</v>
      </c>
      <c r="W155" s="191">
        <f>(1080-Y153-6-1)/V155</f>
        <v>26.65</v>
      </c>
      <c r="X155" s="164" t="s">
        <v>2</v>
      </c>
      <c r="Y155" s="161">
        <v>5</v>
      </c>
      <c r="Z155" s="183">
        <v>2500000</v>
      </c>
      <c r="AA155" s="214"/>
      <c r="AB155" s="197">
        <v>0.5</v>
      </c>
      <c r="AC155" s="161">
        <f t="shared" si="21"/>
        <v>6250000</v>
      </c>
      <c r="AD155" s="243"/>
      <c r="AE155" s="228"/>
      <c r="AF155" s="155"/>
      <c r="AG155" s="153"/>
      <c r="AH155" s="153"/>
      <c r="AI155" s="153"/>
      <c r="AJ155" s="153"/>
    </row>
    <row r="156" spans="1:36" s="19" customFormat="1" ht="33" customHeight="1">
      <c r="A156" s="230"/>
      <c r="B156" s="248"/>
      <c r="C156" s="184"/>
      <c r="D156" s="238"/>
      <c r="E156" s="238"/>
      <c r="F156" s="238"/>
      <c r="G156" s="238"/>
      <c r="H156" s="243"/>
      <c r="I156" s="247"/>
      <c r="J156" s="229"/>
      <c r="K156" s="229"/>
      <c r="L156" s="184"/>
      <c r="M156" s="233"/>
      <c r="N156" s="229"/>
      <c r="O156" s="229"/>
      <c r="P156" s="229"/>
      <c r="Q156" s="229"/>
      <c r="R156" s="229"/>
      <c r="S156" s="229"/>
      <c r="T156" s="229"/>
      <c r="U156" s="182" t="s">
        <v>469</v>
      </c>
      <c r="V156" s="191">
        <v>25</v>
      </c>
      <c r="W156" s="191">
        <f>(1080-Y154-6-1)/V156</f>
        <v>42.72</v>
      </c>
      <c r="X156" s="164" t="s">
        <v>2</v>
      </c>
      <c r="Y156" s="161">
        <v>15</v>
      </c>
      <c r="Z156" s="183"/>
      <c r="AA156" s="214"/>
      <c r="AB156" s="216"/>
      <c r="AC156" s="161"/>
      <c r="AD156" s="243"/>
      <c r="AE156" s="228"/>
      <c r="AF156" s="155"/>
      <c r="AG156" s="153"/>
      <c r="AH156" s="153"/>
      <c r="AI156" s="153"/>
      <c r="AJ156" s="153"/>
    </row>
    <row r="157" spans="1:36" s="19" customFormat="1" ht="23.25" customHeight="1">
      <c r="A157" s="230"/>
      <c r="B157" s="248"/>
      <c r="C157" s="184"/>
      <c r="D157" s="238"/>
      <c r="E157" s="238"/>
      <c r="F157" s="238"/>
      <c r="G157" s="238"/>
      <c r="H157" s="243"/>
      <c r="I157" s="247"/>
      <c r="J157" s="229"/>
      <c r="K157" s="229"/>
      <c r="L157" s="184"/>
      <c r="M157" s="233"/>
      <c r="N157" s="229"/>
      <c r="O157" s="229"/>
      <c r="P157" s="229"/>
      <c r="Q157" s="229"/>
      <c r="R157" s="229"/>
      <c r="S157" s="229"/>
      <c r="T157" s="229"/>
      <c r="U157" s="186" t="s">
        <v>421</v>
      </c>
      <c r="V157" s="191"/>
      <c r="W157" s="191"/>
      <c r="X157" s="164" t="s">
        <v>2</v>
      </c>
      <c r="Y157" s="161">
        <v>15</v>
      </c>
      <c r="Z157" s="183">
        <v>1000000</v>
      </c>
      <c r="AA157" s="214"/>
      <c r="AB157" s="197">
        <v>0.5</v>
      </c>
      <c r="AC157" s="161">
        <f t="shared" ref="AC157:AC164" si="22">Y157*Z157*AB157</f>
        <v>7500000</v>
      </c>
      <c r="AD157" s="243"/>
      <c r="AE157" s="228"/>
      <c r="AF157" s="155"/>
      <c r="AG157" s="153"/>
      <c r="AH157" s="153"/>
      <c r="AI157" s="153"/>
      <c r="AJ157" s="153"/>
    </row>
    <row r="158" spans="1:36" s="19" customFormat="1" ht="51" customHeight="1">
      <c r="A158" s="230"/>
      <c r="B158" s="248"/>
      <c r="C158" s="184"/>
      <c r="D158" s="238"/>
      <c r="E158" s="238"/>
      <c r="F158" s="238"/>
      <c r="G158" s="238"/>
      <c r="H158" s="243"/>
      <c r="I158" s="247"/>
      <c r="J158" s="229"/>
      <c r="K158" s="229"/>
      <c r="L158" s="184"/>
      <c r="M158" s="233"/>
      <c r="N158" s="229"/>
      <c r="O158" s="229"/>
      <c r="P158" s="229"/>
      <c r="Q158" s="229"/>
      <c r="R158" s="229"/>
      <c r="S158" s="229"/>
      <c r="T158" s="229"/>
      <c r="U158" s="173" t="s">
        <v>470</v>
      </c>
      <c r="V158" s="191"/>
      <c r="W158" s="191"/>
      <c r="X158" s="164" t="s">
        <v>0</v>
      </c>
      <c r="Y158" s="161">
        <v>161</v>
      </c>
      <c r="Z158" s="183"/>
      <c r="AA158" s="214"/>
      <c r="AB158" s="216">
        <v>0</v>
      </c>
      <c r="AC158" s="161">
        <f t="shared" si="22"/>
        <v>0</v>
      </c>
      <c r="AD158" s="243"/>
      <c r="AE158" s="228"/>
      <c r="AF158" s="155"/>
      <c r="AG158" s="153"/>
      <c r="AH158" s="153"/>
      <c r="AI158" s="153"/>
      <c r="AJ158" s="153"/>
    </row>
    <row r="159" spans="1:36" s="19" customFormat="1" ht="39" customHeight="1">
      <c r="A159" s="230"/>
      <c r="B159" s="248"/>
      <c r="C159" s="184"/>
      <c r="D159" s="238"/>
      <c r="E159" s="238"/>
      <c r="F159" s="238"/>
      <c r="G159" s="238"/>
      <c r="H159" s="243"/>
      <c r="I159" s="247"/>
      <c r="J159" s="229"/>
      <c r="K159" s="229"/>
      <c r="L159" s="184"/>
      <c r="M159" s="233"/>
      <c r="N159" s="229"/>
      <c r="O159" s="229"/>
      <c r="P159" s="229"/>
      <c r="Q159" s="229"/>
      <c r="R159" s="229"/>
      <c r="S159" s="229"/>
      <c r="T159" s="229"/>
      <c r="U159" s="173" t="s">
        <v>471</v>
      </c>
      <c r="V159" s="191"/>
      <c r="W159" s="191"/>
      <c r="X159" s="164" t="s">
        <v>400</v>
      </c>
      <c r="Y159" s="161">
        <v>80</v>
      </c>
      <c r="Z159" s="183"/>
      <c r="AA159" s="214"/>
      <c r="AB159" s="216">
        <v>0</v>
      </c>
      <c r="AC159" s="161">
        <f t="shared" si="22"/>
        <v>0</v>
      </c>
      <c r="AD159" s="243"/>
      <c r="AE159" s="228"/>
      <c r="AF159" s="155"/>
      <c r="AG159" s="153"/>
      <c r="AH159" s="153"/>
      <c r="AI159" s="153"/>
      <c r="AJ159" s="153"/>
    </row>
    <row r="160" spans="1:36" s="19" customFormat="1" ht="39" customHeight="1">
      <c r="A160" s="230"/>
      <c r="B160" s="248"/>
      <c r="C160" s="184"/>
      <c r="D160" s="238"/>
      <c r="E160" s="238"/>
      <c r="F160" s="238"/>
      <c r="G160" s="238"/>
      <c r="H160" s="243"/>
      <c r="I160" s="247"/>
      <c r="J160" s="229"/>
      <c r="K160" s="229"/>
      <c r="L160" s="184"/>
      <c r="M160" s="233"/>
      <c r="N160" s="229"/>
      <c r="O160" s="229"/>
      <c r="P160" s="229"/>
      <c r="Q160" s="229"/>
      <c r="R160" s="229"/>
      <c r="S160" s="229"/>
      <c r="T160" s="229"/>
      <c r="U160" s="173" t="s">
        <v>472</v>
      </c>
      <c r="V160" s="191"/>
      <c r="W160" s="191"/>
      <c r="X160" s="164" t="s">
        <v>689</v>
      </c>
      <c r="Y160" s="161">
        <v>6</v>
      </c>
      <c r="Z160" s="183"/>
      <c r="AA160" s="214"/>
      <c r="AB160" s="216">
        <v>0</v>
      </c>
      <c r="AC160" s="161">
        <f t="shared" si="22"/>
        <v>0</v>
      </c>
      <c r="AD160" s="243"/>
      <c r="AE160" s="228"/>
      <c r="AF160" s="155"/>
      <c r="AG160" s="153"/>
      <c r="AH160" s="153"/>
      <c r="AI160" s="153"/>
      <c r="AJ160" s="153"/>
    </row>
    <row r="161" spans="1:36" s="19" customFormat="1" ht="21.75" customHeight="1">
      <c r="A161" s="230"/>
      <c r="B161" s="248"/>
      <c r="C161" s="184"/>
      <c r="D161" s="238"/>
      <c r="E161" s="238"/>
      <c r="F161" s="238"/>
      <c r="G161" s="238"/>
      <c r="H161" s="243"/>
      <c r="I161" s="247"/>
      <c r="J161" s="229"/>
      <c r="K161" s="229"/>
      <c r="L161" s="184"/>
      <c r="M161" s="233"/>
      <c r="N161" s="229"/>
      <c r="O161" s="229"/>
      <c r="P161" s="229"/>
      <c r="Q161" s="229"/>
      <c r="R161" s="229"/>
      <c r="S161" s="229"/>
      <c r="T161" s="229"/>
      <c r="U161" s="173" t="s">
        <v>473</v>
      </c>
      <c r="V161" s="191"/>
      <c r="W161" s="191"/>
      <c r="X161" s="164" t="s">
        <v>400</v>
      </c>
      <c r="Y161" s="161">
        <v>12</v>
      </c>
      <c r="Z161" s="183"/>
      <c r="AA161" s="214"/>
      <c r="AB161" s="216">
        <v>0</v>
      </c>
      <c r="AC161" s="161">
        <f t="shared" si="22"/>
        <v>0</v>
      </c>
      <c r="AD161" s="243"/>
      <c r="AE161" s="228"/>
      <c r="AF161" s="155"/>
      <c r="AG161" s="153"/>
      <c r="AH161" s="153"/>
      <c r="AI161" s="153"/>
      <c r="AJ161" s="153"/>
    </row>
    <row r="162" spans="1:36" s="19" customFormat="1" ht="21.75" customHeight="1">
      <c r="A162" s="230"/>
      <c r="B162" s="248"/>
      <c r="C162" s="184"/>
      <c r="D162" s="238"/>
      <c r="E162" s="238"/>
      <c r="F162" s="238"/>
      <c r="G162" s="238"/>
      <c r="H162" s="243"/>
      <c r="I162" s="247"/>
      <c r="J162" s="229"/>
      <c r="K162" s="229"/>
      <c r="L162" s="184"/>
      <c r="M162" s="233"/>
      <c r="N162" s="229"/>
      <c r="O162" s="229"/>
      <c r="P162" s="229"/>
      <c r="Q162" s="229"/>
      <c r="R162" s="229"/>
      <c r="S162" s="229"/>
      <c r="T162" s="229"/>
      <c r="U162" s="173" t="s">
        <v>474</v>
      </c>
      <c r="V162" s="191"/>
      <c r="W162" s="191"/>
      <c r="X162" s="164" t="s">
        <v>399</v>
      </c>
      <c r="Y162" s="161">
        <v>1</v>
      </c>
      <c r="Z162" s="183"/>
      <c r="AA162" s="214"/>
      <c r="AB162" s="216">
        <v>0</v>
      </c>
      <c r="AC162" s="161">
        <f t="shared" si="22"/>
        <v>0</v>
      </c>
      <c r="AD162" s="243"/>
      <c r="AE162" s="228"/>
      <c r="AF162" s="155"/>
      <c r="AG162" s="153"/>
      <c r="AH162" s="153"/>
      <c r="AI162" s="153"/>
      <c r="AJ162" s="153"/>
    </row>
    <row r="163" spans="1:36" s="19" customFormat="1" ht="23.25" customHeight="1">
      <c r="A163" s="230"/>
      <c r="B163" s="248"/>
      <c r="C163" s="184"/>
      <c r="D163" s="238"/>
      <c r="E163" s="238"/>
      <c r="F163" s="238"/>
      <c r="G163" s="238"/>
      <c r="H163" s="243"/>
      <c r="I163" s="247"/>
      <c r="J163" s="229"/>
      <c r="K163" s="229"/>
      <c r="L163" s="184"/>
      <c r="M163" s="233"/>
      <c r="N163" s="229"/>
      <c r="O163" s="229"/>
      <c r="P163" s="229"/>
      <c r="Q163" s="229"/>
      <c r="R163" s="229"/>
      <c r="S163" s="229"/>
      <c r="T163" s="229"/>
      <c r="U163" s="179" t="s">
        <v>475</v>
      </c>
      <c r="V163" s="191"/>
      <c r="W163" s="191"/>
      <c r="X163" s="164" t="s">
        <v>689</v>
      </c>
      <c r="Y163" s="161">
        <v>1.3</v>
      </c>
      <c r="Z163" s="183"/>
      <c r="AA163" s="214"/>
      <c r="AB163" s="216">
        <v>0</v>
      </c>
      <c r="AC163" s="161">
        <f t="shared" si="22"/>
        <v>0</v>
      </c>
      <c r="AD163" s="243"/>
      <c r="AE163" s="228"/>
      <c r="AF163" s="155"/>
      <c r="AG163" s="153"/>
      <c r="AH163" s="153"/>
      <c r="AI163" s="153"/>
      <c r="AJ163" s="153"/>
    </row>
    <row r="164" spans="1:36" s="19" customFormat="1" ht="23.25" customHeight="1">
      <c r="A164" s="230"/>
      <c r="B164" s="248"/>
      <c r="C164" s="184"/>
      <c r="D164" s="238"/>
      <c r="E164" s="238"/>
      <c r="F164" s="238"/>
      <c r="G164" s="238"/>
      <c r="H164" s="243"/>
      <c r="I164" s="247"/>
      <c r="J164" s="229"/>
      <c r="K164" s="229"/>
      <c r="L164" s="184"/>
      <c r="M164" s="233"/>
      <c r="N164" s="229"/>
      <c r="O164" s="229"/>
      <c r="P164" s="229"/>
      <c r="Q164" s="229"/>
      <c r="R164" s="229"/>
      <c r="S164" s="229"/>
      <c r="T164" s="229"/>
      <c r="U164" s="179" t="s">
        <v>476</v>
      </c>
      <c r="V164" s="188"/>
      <c r="W164" s="188"/>
      <c r="X164" s="164" t="s">
        <v>0</v>
      </c>
      <c r="Y164" s="161">
        <v>8</v>
      </c>
      <c r="Z164" s="183"/>
      <c r="AA164" s="214"/>
      <c r="AB164" s="216">
        <v>0</v>
      </c>
      <c r="AC164" s="161">
        <f t="shared" si="22"/>
        <v>0</v>
      </c>
      <c r="AD164" s="243"/>
      <c r="AE164" s="228"/>
      <c r="AF164" s="155"/>
      <c r="AG164" s="153"/>
      <c r="AH164" s="153"/>
      <c r="AI164" s="153"/>
      <c r="AJ164" s="153"/>
    </row>
    <row r="165" spans="1:36" s="3" customFormat="1" ht="35.25" customHeight="1">
      <c r="A165" s="230">
        <v>25</v>
      </c>
      <c r="B165" s="235" t="s">
        <v>477</v>
      </c>
      <c r="C165" s="238" t="s">
        <v>39</v>
      </c>
      <c r="D165" s="238">
        <v>64</v>
      </c>
      <c r="E165" s="238">
        <v>440</v>
      </c>
      <c r="F165" s="238">
        <v>424.2</v>
      </c>
      <c r="G165" s="238" t="s">
        <v>28</v>
      </c>
      <c r="H165" s="243">
        <v>432</v>
      </c>
      <c r="I165" s="247">
        <f>F165-H165</f>
        <v>-7.8000000000000114</v>
      </c>
      <c r="J165" s="243">
        <f>H165+H176</f>
        <v>1152</v>
      </c>
      <c r="K165" s="243">
        <v>1152</v>
      </c>
      <c r="L165" s="243"/>
      <c r="M165" s="243">
        <f>J165/K165*100</f>
        <v>100</v>
      </c>
      <c r="N165" s="243">
        <v>12</v>
      </c>
      <c r="O165" s="243">
        <v>4</v>
      </c>
      <c r="P165" s="243">
        <v>80000</v>
      </c>
      <c r="Q165" s="243">
        <f>P165*J165</f>
        <v>92160000</v>
      </c>
      <c r="R165" s="243">
        <f>Q165*3</f>
        <v>276480000</v>
      </c>
      <c r="S165" s="243">
        <f>N165*O165*S6</f>
        <v>24480000</v>
      </c>
      <c r="T165" s="243">
        <f>SUM(Q165:S184)</f>
        <v>393120000</v>
      </c>
      <c r="U165" s="182" t="s">
        <v>478</v>
      </c>
      <c r="V165" s="191">
        <v>20</v>
      </c>
      <c r="W165" s="191">
        <f>H165/V165</f>
        <v>21.6</v>
      </c>
      <c r="X165" s="164" t="s">
        <v>2</v>
      </c>
      <c r="Y165" s="161">
        <v>8</v>
      </c>
      <c r="Z165" s="183"/>
      <c r="AA165" s="214"/>
      <c r="AB165" s="197"/>
      <c r="AC165" s="161"/>
      <c r="AD165" s="243">
        <f>SUM(AC165:AC175)</f>
        <v>32875000</v>
      </c>
      <c r="AE165" s="228">
        <f>T165+AD165+AD176</f>
        <v>566095000</v>
      </c>
      <c r="AF165" s="155" t="s">
        <v>428</v>
      </c>
      <c r="AG165" s="153"/>
      <c r="AH165" s="153"/>
      <c r="AI165" s="153"/>
      <c r="AJ165" s="153"/>
    </row>
    <row r="166" spans="1:36" s="3" customFormat="1" ht="18.75" customHeight="1">
      <c r="A166" s="230"/>
      <c r="B166" s="235"/>
      <c r="C166" s="238"/>
      <c r="D166" s="238"/>
      <c r="E166" s="238"/>
      <c r="F166" s="238"/>
      <c r="G166" s="238"/>
      <c r="H166" s="243"/>
      <c r="I166" s="247"/>
      <c r="J166" s="243"/>
      <c r="K166" s="243"/>
      <c r="L166" s="243"/>
      <c r="M166" s="243"/>
      <c r="N166" s="243"/>
      <c r="O166" s="243"/>
      <c r="P166" s="243"/>
      <c r="Q166" s="243"/>
      <c r="R166" s="243"/>
      <c r="S166" s="243"/>
      <c r="T166" s="243"/>
      <c r="U166" s="186" t="s">
        <v>421</v>
      </c>
      <c r="V166" s="191"/>
      <c r="W166" s="191"/>
      <c r="X166" s="164" t="s">
        <v>2</v>
      </c>
      <c r="Y166" s="161">
        <v>8</v>
      </c>
      <c r="Z166" s="183">
        <v>1800000</v>
      </c>
      <c r="AA166" s="214"/>
      <c r="AB166" s="197">
        <v>1</v>
      </c>
      <c r="AC166" s="161">
        <f t="shared" ref="AC166" si="23">Y166*Z166*AB166</f>
        <v>14400000</v>
      </c>
      <c r="AD166" s="243"/>
      <c r="AE166" s="228"/>
      <c r="AF166" s="155"/>
      <c r="AG166" s="153"/>
      <c r="AH166" s="153"/>
      <c r="AI166" s="153"/>
      <c r="AJ166" s="153"/>
    </row>
    <row r="167" spans="1:36" s="3" customFormat="1" ht="36" customHeight="1">
      <c r="A167" s="230"/>
      <c r="B167" s="235"/>
      <c r="C167" s="238"/>
      <c r="D167" s="238"/>
      <c r="E167" s="238"/>
      <c r="F167" s="238"/>
      <c r="G167" s="238"/>
      <c r="H167" s="243"/>
      <c r="I167" s="247"/>
      <c r="J167" s="243"/>
      <c r="K167" s="243"/>
      <c r="L167" s="243"/>
      <c r="M167" s="243"/>
      <c r="N167" s="243"/>
      <c r="O167" s="243"/>
      <c r="P167" s="243"/>
      <c r="Q167" s="243"/>
      <c r="R167" s="243"/>
      <c r="S167" s="243"/>
      <c r="T167" s="243"/>
      <c r="U167" s="182" t="s">
        <v>479</v>
      </c>
      <c r="V167" s="191">
        <v>25</v>
      </c>
      <c r="W167" s="191">
        <f>H165/V167</f>
        <v>17.28</v>
      </c>
      <c r="X167" s="164" t="s">
        <v>2</v>
      </c>
      <c r="Y167" s="161">
        <v>15</v>
      </c>
      <c r="Z167" s="183"/>
      <c r="AA167" s="214"/>
      <c r="AB167" s="197"/>
      <c r="AC167" s="161"/>
      <c r="AD167" s="243"/>
      <c r="AE167" s="228"/>
      <c r="AF167" s="155"/>
      <c r="AG167" s="153"/>
      <c r="AH167" s="153"/>
      <c r="AI167" s="153"/>
      <c r="AJ167" s="153"/>
    </row>
    <row r="168" spans="1:36" s="3" customFormat="1" ht="21.75" customHeight="1">
      <c r="A168" s="230"/>
      <c r="B168" s="235"/>
      <c r="C168" s="238"/>
      <c r="D168" s="238"/>
      <c r="E168" s="238"/>
      <c r="F168" s="238"/>
      <c r="G168" s="238"/>
      <c r="H168" s="243"/>
      <c r="I168" s="247"/>
      <c r="J168" s="243"/>
      <c r="K168" s="243"/>
      <c r="L168" s="243"/>
      <c r="M168" s="243"/>
      <c r="N168" s="243"/>
      <c r="O168" s="243"/>
      <c r="P168" s="243"/>
      <c r="Q168" s="243"/>
      <c r="R168" s="243"/>
      <c r="S168" s="243"/>
      <c r="T168" s="243"/>
      <c r="U168" s="186" t="s">
        <v>421</v>
      </c>
      <c r="V168" s="191"/>
      <c r="W168" s="191"/>
      <c r="X168" s="164" t="s">
        <v>2</v>
      </c>
      <c r="Y168" s="161">
        <v>15</v>
      </c>
      <c r="Z168" s="183">
        <v>230000</v>
      </c>
      <c r="AA168" s="214"/>
      <c r="AB168" s="197">
        <v>0.5</v>
      </c>
      <c r="AC168" s="161">
        <f>Y168*Z168*AB168</f>
        <v>1725000</v>
      </c>
      <c r="AD168" s="243"/>
      <c r="AE168" s="228"/>
      <c r="AF168" s="155"/>
      <c r="AG168" s="153"/>
      <c r="AH168" s="153"/>
      <c r="AI168" s="153"/>
      <c r="AJ168" s="153"/>
    </row>
    <row r="169" spans="1:36" s="3" customFormat="1" ht="33" customHeight="1">
      <c r="A169" s="230"/>
      <c r="B169" s="235"/>
      <c r="C169" s="238"/>
      <c r="D169" s="238"/>
      <c r="E169" s="238"/>
      <c r="F169" s="238"/>
      <c r="G169" s="238"/>
      <c r="H169" s="243"/>
      <c r="I169" s="247"/>
      <c r="J169" s="243"/>
      <c r="K169" s="243"/>
      <c r="L169" s="243"/>
      <c r="M169" s="243"/>
      <c r="N169" s="243"/>
      <c r="O169" s="243"/>
      <c r="P169" s="243"/>
      <c r="Q169" s="243"/>
      <c r="R169" s="243"/>
      <c r="S169" s="243"/>
      <c r="T169" s="243"/>
      <c r="U169" s="182" t="s">
        <v>480</v>
      </c>
      <c r="V169" s="191">
        <v>4</v>
      </c>
      <c r="W169" s="191">
        <f>H165/4</f>
        <v>108</v>
      </c>
      <c r="X169" s="164" t="s">
        <v>396</v>
      </c>
      <c r="Y169" s="161">
        <v>60</v>
      </c>
      <c r="Z169" s="183"/>
      <c r="AA169" s="209"/>
      <c r="AB169" s="197"/>
      <c r="AC169" s="161"/>
      <c r="AD169" s="243"/>
      <c r="AE169" s="228"/>
      <c r="AF169" s="155"/>
      <c r="AG169" s="153"/>
      <c r="AH169" s="153"/>
      <c r="AI169" s="153"/>
      <c r="AJ169" s="153"/>
    </row>
    <row r="170" spans="1:36" s="3" customFormat="1" ht="21.75" customHeight="1">
      <c r="A170" s="230"/>
      <c r="B170" s="235"/>
      <c r="C170" s="238"/>
      <c r="D170" s="238"/>
      <c r="E170" s="238"/>
      <c r="F170" s="238"/>
      <c r="G170" s="238"/>
      <c r="H170" s="243"/>
      <c r="I170" s="247"/>
      <c r="J170" s="243"/>
      <c r="K170" s="243"/>
      <c r="L170" s="243"/>
      <c r="M170" s="243"/>
      <c r="N170" s="243"/>
      <c r="O170" s="243"/>
      <c r="P170" s="243"/>
      <c r="Q170" s="243"/>
      <c r="R170" s="243"/>
      <c r="S170" s="243"/>
      <c r="T170" s="243"/>
      <c r="U170" s="186" t="s">
        <v>421</v>
      </c>
      <c r="V170" s="191"/>
      <c r="W170" s="191"/>
      <c r="X170" s="164" t="s">
        <v>2</v>
      </c>
      <c r="Y170" s="161">
        <v>60</v>
      </c>
      <c r="Z170" s="183">
        <v>200000</v>
      </c>
      <c r="AA170" s="209"/>
      <c r="AB170" s="197">
        <v>0.5</v>
      </c>
      <c r="AC170" s="161">
        <f>Y170*Z170*AB170</f>
        <v>6000000</v>
      </c>
      <c r="AD170" s="243"/>
      <c r="AE170" s="228"/>
      <c r="AF170" s="155"/>
      <c r="AG170" s="153"/>
      <c r="AH170" s="153"/>
      <c r="AI170" s="153"/>
      <c r="AJ170" s="153"/>
    </row>
    <row r="171" spans="1:36" s="3" customFormat="1" ht="33" customHeight="1">
      <c r="A171" s="230"/>
      <c r="B171" s="235"/>
      <c r="C171" s="238"/>
      <c r="D171" s="238"/>
      <c r="E171" s="238"/>
      <c r="F171" s="238"/>
      <c r="G171" s="238"/>
      <c r="H171" s="243"/>
      <c r="I171" s="247"/>
      <c r="J171" s="243"/>
      <c r="K171" s="243"/>
      <c r="L171" s="243"/>
      <c r="M171" s="243"/>
      <c r="N171" s="243"/>
      <c r="O171" s="243"/>
      <c r="P171" s="243"/>
      <c r="Q171" s="243"/>
      <c r="R171" s="243"/>
      <c r="S171" s="243"/>
      <c r="T171" s="243"/>
      <c r="U171" s="182" t="s">
        <v>481</v>
      </c>
      <c r="V171" s="191"/>
      <c r="W171" s="191"/>
      <c r="X171" s="164" t="s">
        <v>396</v>
      </c>
      <c r="Y171" s="161">
        <v>30</v>
      </c>
      <c r="Z171" s="183"/>
      <c r="AA171" s="209"/>
      <c r="AB171" s="197"/>
      <c r="AC171" s="161"/>
      <c r="AD171" s="243"/>
      <c r="AE171" s="228"/>
      <c r="AF171" s="155"/>
      <c r="AG171" s="153"/>
      <c r="AH171" s="153"/>
      <c r="AI171" s="153"/>
      <c r="AJ171" s="153"/>
    </row>
    <row r="172" spans="1:36" s="3" customFormat="1" ht="21.75" customHeight="1">
      <c r="A172" s="230"/>
      <c r="B172" s="235"/>
      <c r="C172" s="238"/>
      <c r="D172" s="238"/>
      <c r="E172" s="238"/>
      <c r="F172" s="238"/>
      <c r="G172" s="238"/>
      <c r="H172" s="243"/>
      <c r="I172" s="247"/>
      <c r="J172" s="243"/>
      <c r="K172" s="243"/>
      <c r="L172" s="243"/>
      <c r="M172" s="243"/>
      <c r="N172" s="243"/>
      <c r="O172" s="243"/>
      <c r="P172" s="243"/>
      <c r="Q172" s="243"/>
      <c r="R172" s="243"/>
      <c r="S172" s="243"/>
      <c r="T172" s="243"/>
      <c r="U172" s="186" t="s">
        <v>421</v>
      </c>
      <c r="V172" s="191"/>
      <c r="W172" s="191"/>
      <c r="X172" s="164" t="s">
        <v>2</v>
      </c>
      <c r="Y172" s="161">
        <v>30</v>
      </c>
      <c r="Z172" s="183">
        <v>150000</v>
      </c>
      <c r="AA172" s="209"/>
      <c r="AB172" s="197">
        <v>0.5</v>
      </c>
      <c r="AC172" s="161">
        <f>Y172*Z172*AB172</f>
        <v>2250000</v>
      </c>
      <c r="AD172" s="243"/>
      <c r="AE172" s="228"/>
      <c r="AF172" s="155"/>
      <c r="AG172" s="153"/>
      <c r="AH172" s="153"/>
      <c r="AI172" s="153"/>
      <c r="AJ172" s="153"/>
    </row>
    <row r="173" spans="1:36" s="3" customFormat="1" ht="21.75" customHeight="1">
      <c r="A173" s="230"/>
      <c r="B173" s="235"/>
      <c r="C173" s="238"/>
      <c r="D173" s="238"/>
      <c r="E173" s="238"/>
      <c r="F173" s="238"/>
      <c r="G173" s="238"/>
      <c r="H173" s="243"/>
      <c r="I173" s="247"/>
      <c r="J173" s="243"/>
      <c r="K173" s="243"/>
      <c r="L173" s="243"/>
      <c r="M173" s="243"/>
      <c r="N173" s="243"/>
      <c r="O173" s="243"/>
      <c r="P173" s="243"/>
      <c r="Q173" s="243"/>
      <c r="R173" s="243"/>
      <c r="S173" s="243"/>
      <c r="T173" s="243"/>
      <c r="U173" s="186" t="s">
        <v>482</v>
      </c>
      <c r="V173" s="191"/>
      <c r="W173" s="191"/>
      <c r="X173" s="164" t="s">
        <v>0</v>
      </c>
      <c r="Y173" s="161">
        <v>170</v>
      </c>
      <c r="Z173" s="183">
        <v>50000</v>
      </c>
      <c r="AA173" s="214"/>
      <c r="AB173" s="197">
        <v>1</v>
      </c>
      <c r="AC173" s="161">
        <f>Y173*Z173*AB173</f>
        <v>8500000</v>
      </c>
      <c r="AD173" s="243"/>
      <c r="AE173" s="228"/>
      <c r="AF173" s="155"/>
      <c r="AG173" s="153"/>
      <c r="AH173" s="153"/>
      <c r="AI173" s="153"/>
      <c r="AJ173" s="153"/>
    </row>
    <row r="174" spans="1:36" s="3" customFormat="1" ht="54.75" customHeight="1">
      <c r="A174" s="230"/>
      <c r="B174" s="235"/>
      <c r="C174" s="238"/>
      <c r="D174" s="238"/>
      <c r="E174" s="238"/>
      <c r="F174" s="238"/>
      <c r="G174" s="238"/>
      <c r="H174" s="243"/>
      <c r="I174" s="247"/>
      <c r="J174" s="243"/>
      <c r="K174" s="243"/>
      <c r="L174" s="243"/>
      <c r="M174" s="243"/>
      <c r="N174" s="243"/>
      <c r="O174" s="243"/>
      <c r="P174" s="243"/>
      <c r="Q174" s="243"/>
      <c r="R174" s="243"/>
      <c r="S174" s="243"/>
      <c r="T174" s="243"/>
      <c r="U174" s="190" t="s">
        <v>483</v>
      </c>
      <c r="V174" s="191"/>
      <c r="W174" s="191"/>
      <c r="X174" s="164" t="s">
        <v>6</v>
      </c>
      <c r="Y174" s="192">
        <v>161</v>
      </c>
      <c r="Z174" s="172"/>
      <c r="AA174" s="214"/>
      <c r="AB174" s="197">
        <v>0</v>
      </c>
      <c r="AC174" s="161">
        <f t="shared" ref="AC174:AC175" si="24">Y174*Z174*AB174</f>
        <v>0</v>
      </c>
      <c r="AD174" s="243"/>
      <c r="AE174" s="228"/>
      <c r="AF174" s="155"/>
      <c r="AG174" s="153"/>
      <c r="AH174" s="153"/>
      <c r="AI174" s="153"/>
      <c r="AJ174" s="153"/>
    </row>
    <row r="175" spans="1:36" s="3" customFormat="1" ht="24" customHeight="1">
      <c r="A175" s="230"/>
      <c r="B175" s="235"/>
      <c r="C175" s="238"/>
      <c r="D175" s="238"/>
      <c r="E175" s="238"/>
      <c r="F175" s="238"/>
      <c r="G175" s="238"/>
      <c r="H175" s="243"/>
      <c r="I175" s="247"/>
      <c r="J175" s="243"/>
      <c r="K175" s="243"/>
      <c r="L175" s="243"/>
      <c r="M175" s="243"/>
      <c r="N175" s="243"/>
      <c r="O175" s="243"/>
      <c r="P175" s="243"/>
      <c r="Q175" s="243"/>
      <c r="R175" s="243"/>
      <c r="S175" s="243"/>
      <c r="T175" s="243"/>
      <c r="U175" s="173" t="s">
        <v>484</v>
      </c>
      <c r="V175" s="191"/>
      <c r="W175" s="191"/>
      <c r="X175" s="164" t="s">
        <v>399</v>
      </c>
      <c r="Y175" s="192">
        <v>1</v>
      </c>
      <c r="Z175" s="183"/>
      <c r="AA175" s="214"/>
      <c r="AB175" s="197">
        <v>0</v>
      </c>
      <c r="AC175" s="161">
        <f t="shared" si="24"/>
        <v>0</v>
      </c>
      <c r="AD175" s="243"/>
      <c r="AE175" s="228"/>
      <c r="AF175" s="155"/>
      <c r="AG175" s="153"/>
      <c r="AH175" s="153"/>
      <c r="AI175" s="153"/>
      <c r="AJ175" s="153"/>
    </row>
    <row r="176" spans="1:36" s="3" customFormat="1" ht="35.25" customHeight="1">
      <c r="A176" s="230"/>
      <c r="B176" s="235"/>
      <c r="C176" s="230"/>
      <c r="D176" s="230">
        <v>64</v>
      </c>
      <c r="E176" s="230">
        <v>441</v>
      </c>
      <c r="F176" s="230">
        <v>745.2</v>
      </c>
      <c r="G176" s="230" t="s">
        <v>28</v>
      </c>
      <c r="H176" s="229">
        <v>720</v>
      </c>
      <c r="I176" s="242">
        <f>F176-H176</f>
        <v>25.200000000000045</v>
      </c>
      <c r="J176" s="243"/>
      <c r="K176" s="243"/>
      <c r="L176" s="243"/>
      <c r="M176" s="243"/>
      <c r="N176" s="243"/>
      <c r="O176" s="243"/>
      <c r="P176" s="243"/>
      <c r="Q176" s="243"/>
      <c r="R176" s="243"/>
      <c r="S176" s="243"/>
      <c r="T176" s="243"/>
      <c r="U176" s="182" t="s">
        <v>457</v>
      </c>
      <c r="V176" s="191">
        <v>25</v>
      </c>
      <c r="W176" s="191">
        <f>H176/25</f>
        <v>28.8</v>
      </c>
      <c r="X176" s="164" t="s">
        <v>2</v>
      </c>
      <c r="Y176" s="161">
        <v>33</v>
      </c>
      <c r="Z176" s="183"/>
      <c r="AA176" s="214"/>
      <c r="AB176" s="216"/>
      <c r="AC176" s="161"/>
      <c r="AD176" s="243">
        <f>SUM(AC176:AC184)</f>
        <v>140100000</v>
      </c>
      <c r="AE176" s="228"/>
      <c r="AF176" s="155" t="s">
        <v>398</v>
      </c>
      <c r="AG176" s="153"/>
      <c r="AH176" s="153"/>
      <c r="AI176" s="153"/>
      <c r="AJ176" s="153"/>
    </row>
    <row r="177" spans="1:36" s="3" customFormat="1" ht="23.25" customHeight="1">
      <c r="A177" s="230"/>
      <c r="B177" s="235"/>
      <c r="C177" s="230"/>
      <c r="D177" s="230"/>
      <c r="E177" s="230"/>
      <c r="F177" s="230"/>
      <c r="G177" s="230"/>
      <c r="H177" s="229"/>
      <c r="I177" s="242"/>
      <c r="J177" s="243"/>
      <c r="K177" s="243"/>
      <c r="L177" s="243"/>
      <c r="M177" s="243"/>
      <c r="N177" s="243"/>
      <c r="O177" s="243"/>
      <c r="P177" s="243"/>
      <c r="Q177" s="243"/>
      <c r="R177" s="243"/>
      <c r="S177" s="243"/>
      <c r="T177" s="243"/>
      <c r="U177" s="186" t="s">
        <v>421</v>
      </c>
      <c r="V177" s="191"/>
      <c r="W177" s="191"/>
      <c r="X177" s="164" t="s">
        <v>2</v>
      </c>
      <c r="Y177" s="161">
        <v>29</v>
      </c>
      <c r="Z177" s="183">
        <v>4500000</v>
      </c>
      <c r="AA177" s="214"/>
      <c r="AB177" s="216">
        <v>1</v>
      </c>
      <c r="AC177" s="161">
        <f>Y177*Z177*AB177</f>
        <v>130500000</v>
      </c>
      <c r="AD177" s="243"/>
      <c r="AE177" s="228"/>
      <c r="AF177" s="155"/>
      <c r="AG177" s="153"/>
      <c r="AH177" s="153"/>
      <c r="AI177" s="153"/>
      <c r="AJ177" s="153"/>
    </row>
    <row r="178" spans="1:36" s="3" customFormat="1" ht="23.25" customHeight="1">
      <c r="A178" s="230"/>
      <c r="B178" s="235"/>
      <c r="C178" s="230"/>
      <c r="D178" s="230"/>
      <c r="E178" s="230"/>
      <c r="F178" s="230"/>
      <c r="G178" s="230"/>
      <c r="H178" s="229"/>
      <c r="I178" s="242"/>
      <c r="J178" s="243"/>
      <c r="K178" s="243"/>
      <c r="L178" s="243"/>
      <c r="M178" s="243"/>
      <c r="N178" s="243"/>
      <c r="O178" s="243"/>
      <c r="P178" s="243"/>
      <c r="Q178" s="243"/>
      <c r="R178" s="243"/>
      <c r="S178" s="243"/>
      <c r="T178" s="243"/>
      <c r="U178" s="186" t="s">
        <v>423</v>
      </c>
      <c r="V178" s="191"/>
      <c r="W178" s="191">
        <f>0.3*4</f>
        <v>1.2</v>
      </c>
      <c r="X178" s="164" t="s">
        <v>2</v>
      </c>
      <c r="Y178" s="161">
        <v>1</v>
      </c>
      <c r="Z178" s="183">
        <v>4500000</v>
      </c>
      <c r="AA178" s="214"/>
      <c r="AB178" s="216">
        <v>0.3</v>
      </c>
      <c r="AC178" s="161">
        <f t="shared" ref="AC178:AC189" si="25">Y178*Z178*AB178</f>
        <v>1350000</v>
      </c>
      <c r="AD178" s="243"/>
      <c r="AE178" s="228"/>
      <c r="AF178" s="155"/>
      <c r="AG178" s="153"/>
      <c r="AH178" s="153"/>
      <c r="AI178" s="153"/>
      <c r="AJ178" s="153"/>
    </row>
    <row r="179" spans="1:36" s="3" customFormat="1" ht="23.25" customHeight="1">
      <c r="A179" s="230"/>
      <c r="B179" s="235"/>
      <c r="C179" s="230"/>
      <c r="D179" s="230"/>
      <c r="E179" s="230"/>
      <c r="F179" s="230"/>
      <c r="G179" s="230"/>
      <c r="H179" s="229"/>
      <c r="I179" s="242"/>
      <c r="J179" s="243"/>
      <c r="K179" s="243"/>
      <c r="L179" s="243"/>
      <c r="M179" s="243"/>
      <c r="N179" s="243"/>
      <c r="O179" s="243"/>
      <c r="P179" s="243"/>
      <c r="Q179" s="243"/>
      <c r="R179" s="243"/>
      <c r="S179" s="243"/>
      <c r="T179" s="243"/>
      <c r="U179" s="186" t="s">
        <v>424</v>
      </c>
      <c r="V179" s="191"/>
      <c r="W179" s="191"/>
      <c r="X179" s="164" t="s">
        <v>2</v>
      </c>
      <c r="Y179" s="161">
        <v>3</v>
      </c>
      <c r="Z179" s="183">
        <v>4500000</v>
      </c>
      <c r="AA179" s="214"/>
      <c r="AB179" s="216">
        <v>0</v>
      </c>
      <c r="AC179" s="161">
        <f t="shared" si="25"/>
        <v>0</v>
      </c>
      <c r="AD179" s="243"/>
      <c r="AE179" s="228"/>
      <c r="AF179" s="155"/>
      <c r="AG179" s="153"/>
      <c r="AH179" s="153"/>
      <c r="AI179" s="153"/>
      <c r="AJ179" s="153"/>
    </row>
    <row r="180" spans="1:36" s="3" customFormat="1" ht="33" customHeight="1">
      <c r="A180" s="230"/>
      <c r="B180" s="235"/>
      <c r="C180" s="230"/>
      <c r="D180" s="230"/>
      <c r="E180" s="230"/>
      <c r="F180" s="230"/>
      <c r="G180" s="230"/>
      <c r="H180" s="229"/>
      <c r="I180" s="242"/>
      <c r="J180" s="243"/>
      <c r="K180" s="243"/>
      <c r="L180" s="243"/>
      <c r="M180" s="243"/>
      <c r="N180" s="243"/>
      <c r="O180" s="243"/>
      <c r="P180" s="243"/>
      <c r="Q180" s="243"/>
      <c r="R180" s="243"/>
      <c r="S180" s="243"/>
      <c r="T180" s="243"/>
      <c r="U180" s="182" t="s">
        <v>644</v>
      </c>
      <c r="V180" s="191">
        <v>20</v>
      </c>
      <c r="W180" s="191">
        <f>H176/20</f>
        <v>36</v>
      </c>
      <c r="X180" s="164" t="s">
        <v>2</v>
      </c>
      <c r="Y180" s="161">
        <v>20</v>
      </c>
      <c r="Z180" s="183"/>
      <c r="AA180" s="214"/>
      <c r="AB180" s="216"/>
      <c r="AC180" s="161">
        <f t="shared" si="25"/>
        <v>0</v>
      </c>
      <c r="AD180" s="243"/>
      <c r="AE180" s="228"/>
      <c r="AF180" s="155"/>
      <c r="AG180" s="153"/>
      <c r="AH180" s="153"/>
      <c r="AI180" s="153"/>
      <c r="AJ180" s="153"/>
    </row>
    <row r="181" spans="1:36" s="3" customFormat="1" ht="23.25" customHeight="1">
      <c r="A181" s="230"/>
      <c r="B181" s="235"/>
      <c r="C181" s="230"/>
      <c r="D181" s="230"/>
      <c r="E181" s="230"/>
      <c r="F181" s="230"/>
      <c r="G181" s="230"/>
      <c r="H181" s="229"/>
      <c r="I181" s="242"/>
      <c r="J181" s="243"/>
      <c r="K181" s="243"/>
      <c r="L181" s="243"/>
      <c r="M181" s="243"/>
      <c r="N181" s="243"/>
      <c r="O181" s="243"/>
      <c r="P181" s="243"/>
      <c r="Q181" s="243"/>
      <c r="R181" s="243"/>
      <c r="S181" s="243"/>
      <c r="T181" s="243"/>
      <c r="U181" s="186" t="s">
        <v>485</v>
      </c>
      <c r="V181" s="191"/>
      <c r="W181" s="191">
        <f>0.3*W180</f>
        <v>10.799999999999999</v>
      </c>
      <c r="X181" s="164" t="s">
        <v>2</v>
      </c>
      <c r="Y181" s="161">
        <v>11</v>
      </c>
      <c r="Z181" s="183">
        <v>2500000</v>
      </c>
      <c r="AA181" s="214"/>
      <c r="AB181" s="216">
        <v>0.3</v>
      </c>
      <c r="AC181" s="161">
        <f t="shared" si="25"/>
        <v>8250000</v>
      </c>
      <c r="AD181" s="243"/>
      <c r="AE181" s="228"/>
      <c r="AF181" s="155"/>
      <c r="AG181" s="153"/>
      <c r="AH181" s="153"/>
      <c r="AI181" s="153"/>
      <c r="AJ181" s="153"/>
    </row>
    <row r="182" spans="1:36" s="3" customFormat="1" ht="23.25" customHeight="1">
      <c r="A182" s="230"/>
      <c r="B182" s="235"/>
      <c r="C182" s="230"/>
      <c r="D182" s="230"/>
      <c r="E182" s="230"/>
      <c r="F182" s="230"/>
      <c r="G182" s="230"/>
      <c r="H182" s="229"/>
      <c r="I182" s="242"/>
      <c r="J182" s="243"/>
      <c r="K182" s="243"/>
      <c r="L182" s="243"/>
      <c r="M182" s="243"/>
      <c r="N182" s="243"/>
      <c r="O182" s="243"/>
      <c r="P182" s="243"/>
      <c r="Q182" s="243"/>
      <c r="R182" s="243"/>
      <c r="S182" s="243"/>
      <c r="T182" s="243"/>
      <c r="U182" s="186" t="s">
        <v>486</v>
      </c>
      <c r="V182" s="191"/>
      <c r="W182" s="191"/>
      <c r="X182" s="164" t="s">
        <v>2</v>
      </c>
      <c r="Y182" s="161">
        <v>9</v>
      </c>
      <c r="Z182" s="183">
        <v>2500000</v>
      </c>
      <c r="AA182" s="214"/>
      <c r="AB182" s="216">
        <v>0</v>
      </c>
      <c r="AC182" s="161">
        <f t="shared" si="25"/>
        <v>0</v>
      </c>
      <c r="AD182" s="243"/>
      <c r="AE182" s="228"/>
      <c r="AF182" s="155"/>
      <c r="AG182" s="153"/>
      <c r="AH182" s="153"/>
      <c r="AI182" s="153"/>
      <c r="AJ182" s="153"/>
    </row>
    <row r="183" spans="1:36" s="3" customFormat="1" ht="48.75" customHeight="1">
      <c r="A183" s="230"/>
      <c r="B183" s="235"/>
      <c r="C183" s="230"/>
      <c r="D183" s="230"/>
      <c r="E183" s="230"/>
      <c r="F183" s="230"/>
      <c r="G183" s="230"/>
      <c r="H183" s="229"/>
      <c r="I183" s="242"/>
      <c r="J183" s="243"/>
      <c r="K183" s="243"/>
      <c r="L183" s="243"/>
      <c r="M183" s="243"/>
      <c r="N183" s="243"/>
      <c r="O183" s="243"/>
      <c r="P183" s="243"/>
      <c r="Q183" s="243"/>
      <c r="R183" s="243"/>
      <c r="S183" s="243"/>
      <c r="T183" s="243"/>
      <c r="U183" s="190" t="s">
        <v>487</v>
      </c>
      <c r="V183" s="191"/>
      <c r="W183" s="191"/>
      <c r="X183" s="164" t="s">
        <v>6</v>
      </c>
      <c r="Y183" s="192">
        <v>98</v>
      </c>
      <c r="Z183" s="183"/>
      <c r="AA183" s="214"/>
      <c r="AB183" s="216">
        <v>0</v>
      </c>
      <c r="AC183" s="161">
        <f t="shared" si="25"/>
        <v>0</v>
      </c>
      <c r="AD183" s="243"/>
      <c r="AE183" s="228"/>
      <c r="AF183" s="155"/>
      <c r="AG183" s="153"/>
      <c r="AH183" s="153"/>
      <c r="AI183" s="153"/>
      <c r="AJ183" s="153"/>
    </row>
    <row r="184" spans="1:36" s="3" customFormat="1" ht="21.75" customHeight="1">
      <c r="A184" s="230"/>
      <c r="B184" s="235"/>
      <c r="C184" s="230"/>
      <c r="D184" s="230"/>
      <c r="E184" s="230"/>
      <c r="F184" s="230"/>
      <c r="G184" s="230"/>
      <c r="H184" s="229"/>
      <c r="I184" s="242"/>
      <c r="J184" s="243"/>
      <c r="K184" s="243"/>
      <c r="L184" s="243"/>
      <c r="M184" s="243"/>
      <c r="N184" s="243"/>
      <c r="O184" s="243"/>
      <c r="P184" s="243"/>
      <c r="Q184" s="243"/>
      <c r="R184" s="243"/>
      <c r="S184" s="243"/>
      <c r="T184" s="243"/>
      <c r="U184" s="173" t="s">
        <v>464</v>
      </c>
      <c r="V184" s="191"/>
      <c r="W184" s="191"/>
      <c r="X184" s="164" t="s">
        <v>399</v>
      </c>
      <c r="Y184" s="192">
        <v>1</v>
      </c>
      <c r="Z184" s="183"/>
      <c r="AA184" s="214"/>
      <c r="AB184" s="216">
        <v>0</v>
      </c>
      <c r="AC184" s="161">
        <f t="shared" si="25"/>
        <v>0</v>
      </c>
      <c r="AD184" s="243"/>
      <c r="AE184" s="228"/>
      <c r="AF184" s="155"/>
      <c r="AG184" s="153"/>
      <c r="AH184" s="153"/>
      <c r="AI184" s="153"/>
      <c r="AJ184" s="153"/>
    </row>
    <row r="185" spans="1:36" s="3" customFormat="1" ht="37.5" customHeight="1">
      <c r="A185" s="230">
        <v>26</v>
      </c>
      <c r="B185" s="248" t="s">
        <v>632</v>
      </c>
      <c r="C185" s="184"/>
      <c r="D185" s="238">
        <v>64</v>
      </c>
      <c r="E185" s="238">
        <v>450</v>
      </c>
      <c r="F185" s="238">
        <v>744.8</v>
      </c>
      <c r="G185" s="238" t="s">
        <v>28</v>
      </c>
      <c r="H185" s="243">
        <v>720</v>
      </c>
      <c r="I185" s="247">
        <f>F185-H185</f>
        <v>24.799999999999955</v>
      </c>
      <c r="J185" s="229">
        <v>720</v>
      </c>
      <c r="K185" s="229">
        <v>1368</v>
      </c>
      <c r="L185" s="184"/>
      <c r="M185" s="233">
        <f>J185/K185*100</f>
        <v>52.631578947368418</v>
      </c>
      <c r="N185" s="229">
        <v>6</v>
      </c>
      <c r="O185" s="229">
        <v>5</v>
      </c>
      <c r="P185" s="229">
        <v>80000</v>
      </c>
      <c r="Q185" s="229">
        <f>P185*J185</f>
        <v>57600000</v>
      </c>
      <c r="R185" s="229">
        <f>Q185*3</f>
        <v>172800000</v>
      </c>
      <c r="S185" s="229">
        <f>N185*O185*S6</f>
        <v>15300000</v>
      </c>
      <c r="T185" s="229">
        <f>SUM(Q185:S191)</f>
        <v>245700000</v>
      </c>
      <c r="U185" s="182" t="s">
        <v>457</v>
      </c>
      <c r="V185" s="191">
        <v>25</v>
      </c>
      <c r="W185" s="191">
        <f>(J185-250)/25</f>
        <v>18.8</v>
      </c>
      <c r="X185" s="164" t="s">
        <v>2</v>
      </c>
      <c r="Y185" s="161">
        <v>10</v>
      </c>
      <c r="Z185" s="183"/>
      <c r="AA185" s="214"/>
      <c r="AB185" s="216"/>
      <c r="AC185" s="161">
        <f t="shared" si="25"/>
        <v>0</v>
      </c>
      <c r="AD185" s="243">
        <f>SUM(AC185:AC191)</f>
        <v>105000000</v>
      </c>
      <c r="AE185" s="228">
        <f>T185+AD185</f>
        <v>350700000</v>
      </c>
      <c r="AF185" s="155" t="s">
        <v>428</v>
      </c>
      <c r="AG185" s="153"/>
      <c r="AH185" s="153"/>
      <c r="AI185" s="153"/>
      <c r="AJ185" s="153"/>
    </row>
    <row r="186" spans="1:36" s="3" customFormat="1" ht="21.75" customHeight="1">
      <c r="A186" s="230"/>
      <c r="B186" s="248"/>
      <c r="C186" s="184"/>
      <c r="D186" s="238"/>
      <c r="E186" s="238"/>
      <c r="F186" s="238"/>
      <c r="G186" s="238"/>
      <c r="H186" s="243"/>
      <c r="I186" s="247"/>
      <c r="J186" s="229"/>
      <c r="K186" s="229"/>
      <c r="L186" s="184"/>
      <c r="M186" s="233"/>
      <c r="N186" s="229"/>
      <c r="O186" s="229"/>
      <c r="P186" s="229"/>
      <c r="Q186" s="229"/>
      <c r="R186" s="229"/>
      <c r="S186" s="229"/>
      <c r="T186" s="229"/>
      <c r="U186" s="186" t="s">
        <v>421</v>
      </c>
      <c r="V186" s="191"/>
      <c r="W186" s="191"/>
      <c r="X186" s="164" t="s">
        <v>2</v>
      </c>
      <c r="Y186" s="161">
        <v>10</v>
      </c>
      <c r="Z186" s="183">
        <v>4500000</v>
      </c>
      <c r="AA186" s="214"/>
      <c r="AB186" s="216">
        <v>1</v>
      </c>
      <c r="AC186" s="161">
        <f t="shared" si="25"/>
        <v>45000000</v>
      </c>
      <c r="AD186" s="243"/>
      <c r="AE186" s="228"/>
      <c r="AF186" s="155"/>
      <c r="AG186" s="153"/>
      <c r="AH186" s="153"/>
      <c r="AI186" s="153"/>
      <c r="AJ186" s="153"/>
    </row>
    <row r="187" spans="1:36" s="3" customFormat="1" ht="21" customHeight="1">
      <c r="A187" s="230"/>
      <c r="B187" s="248"/>
      <c r="C187" s="184"/>
      <c r="D187" s="238"/>
      <c r="E187" s="238"/>
      <c r="F187" s="238"/>
      <c r="G187" s="238"/>
      <c r="H187" s="243"/>
      <c r="I187" s="247"/>
      <c r="J187" s="229"/>
      <c r="K187" s="229"/>
      <c r="L187" s="184"/>
      <c r="M187" s="233"/>
      <c r="N187" s="229"/>
      <c r="O187" s="229"/>
      <c r="P187" s="229"/>
      <c r="Q187" s="229"/>
      <c r="R187" s="229"/>
      <c r="S187" s="229"/>
      <c r="T187" s="229"/>
      <c r="U187" s="210" t="s">
        <v>467</v>
      </c>
      <c r="V187" s="191"/>
      <c r="W187" s="191"/>
      <c r="X187" s="164" t="s">
        <v>0</v>
      </c>
      <c r="Y187" s="215">
        <v>250</v>
      </c>
      <c r="Z187" s="183">
        <v>180000</v>
      </c>
      <c r="AA187" s="209"/>
      <c r="AB187" s="197">
        <v>1</v>
      </c>
      <c r="AC187" s="161">
        <f t="shared" si="25"/>
        <v>45000000</v>
      </c>
      <c r="AD187" s="243"/>
      <c r="AE187" s="228"/>
      <c r="AF187" s="155"/>
      <c r="AG187" s="153"/>
      <c r="AH187" s="153"/>
      <c r="AI187" s="153"/>
      <c r="AJ187" s="153"/>
    </row>
    <row r="188" spans="1:36" s="3" customFormat="1" ht="37.5" customHeight="1">
      <c r="A188" s="230"/>
      <c r="B188" s="248"/>
      <c r="C188" s="184"/>
      <c r="D188" s="238"/>
      <c r="E188" s="238"/>
      <c r="F188" s="238"/>
      <c r="G188" s="238"/>
      <c r="H188" s="243"/>
      <c r="I188" s="247"/>
      <c r="J188" s="229"/>
      <c r="K188" s="229"/>
      <c r="L188" s="184"/>
      <c r="M188" s="233"/>
      <c r="N188" s="229"/>
      <c r="O188" s="229"/>
      <c r="P188" s="229"/>
      <c r="Q188" s="229"/>
      <c r="R188" s="229"/>
      <c r="S188" s="229"/>
      <c r="T188" s="229"/>
      <c r="U188" s="182" t="s">
        <v>454</v>
      </c>
      <c r="V188" s="191">
        <v>20</v>
      </c>
      <c r="W188" s="191">
        <f>(J185-Y187)/20</f>
        <v>23.5</v>
      </c>
      <c r="X188" s="164" t="s">
        <v>2</v>
      </c>
      <c r="Y188" s="161">
        <v>10</v>
      </c>
      <c r="Z188" s="183"/>
      <c r="AA188" s="214"/>
      <c r="AB188" s="216"/>
      <c r="AC188" s="161">
        <f t="shared" si="25"/>
        <v>0</v>
      </c>
      <c r="AD188" s="243"/>
      <c r="AE188" s="228"/>
      <c r="AF188" s="155"/>
      <c r="AG188" s="153"/>
      <c r="AH188" s="153"/>
      <c r="AI188" s="153"/>
      <c r="AJ188" s="153"/>
    </row>
    <row r="189" spans="1:36" s="3" customFormat="1" ht="23.25" customHeight="1">
      <c r="A189" s="230"/>
      <c r="B189" s="248"/>
      <c r="C189" s="184"/>
      <c r="D189" s="238"/>
      <c r="E189" s="238"/>
      <c r="F189" s="238"/>
      <c r="G189" s="238"/>
      <c r="H189" s="243"/>
      <c r="I189" s="247"/>
      <c r="J189" s="229"/>
      <c r="K189" s="229"/>
      <c r="L189" s="184"/>
      <c r="M189" s="233"/>
      <c r="N189" s="229"/>
      <c r="O189" s="229"/>
      <c r="P189" s="229"/>
      <c r="Q189" s="229"/>
      <c r="R189" s="229"/>
      <c r="S189" s="229"/>
      <c r="T189" s="229"/>
      <c r="U189" s="186" t="s">
        <v>421</v>
      </c>
      <c r="V189" s="191"/>
      <c r="W189" s="191"/>
      <c r="X189" s="164" t="s">
        <v>2</v>
      </c>
      <c r="Y189" s="161">
        <v>10</v>
      </c>
      <c r="Z189" s="183">
        <v>1800000</v>
      </c>
      <c r="AA189" s="214"/>
      <c r="AB189" s="216">
        <v>0.5</v>
      </c>
      <c r="AC189" s="161">
        <f t="shared" si="25"/>
        <v>9000000</v>
      </c>
      <c r="AD189" s="243"/>
      <c r="AE189" s="228"/>
      <c r="AF189" s="155"/>
      <c r="AG189" s="153"/>
      <c r="AH189" s="153"/>
      <c r="AI189" s="153"/>
      <c r="AJ189" s="153"/>
    </row>
    <row r="190" spans="1:36" s="3" customFormat="1" ht="34.5" customHeight="1">
      <c r="A190" s="230"/>
      <c r="B190" s="248"/>
      <c r="C190" s="184"/>
      <c r="D190" s="238"/>
      <c r="E190" s="238"/>
      <c r="F190" s="238"/>
      <c r="G190" s="238"/>
      <c r="H190" s="243"/>
      <c r="I190" s="247"/>
      <c r="J190" s="229"/>
      <c r="K190" s="229"/>
      <c r="L190" s="184"/>
      <c r="M190" s="233"/>
      <c r="N190" s="229"/>
      <c r="O190" s="229"/>
      <c r="P190" s="229"/>
      <c r="Q190" s="229"/>
      <c r="R190" s="229"/>
      <c r="S190" s="229"/>
      <c r="T190" s="229"/>
      <c r="U190" s="182" t="s">
        <v>488</v>
      </c>
      <c r="V190" s="191">
        <v>4</v>
      </c>
      <c r="W190" s="191">
        <f>(J185-250)/4</f>
        <v>117.5</v>
      </c>
      <c r="X190" s="164" t="s">
        <v>396</v>
      </c>
      <c r="Y190" s="161">
        <v>60</v>
      </c>
      <c r="Z190" s="183"/>
      <c r="AA190" s="209"/>
      <c r="AB190" s="197"/>
      <c r="AC190" s="161"/>
      <c r="AD190" s="243"/>
      <c r="AE190" s="228"/>
      <c r="AF190" s="155"/>
      <c r="AG190" s="153"/>
      <c r="AH190" s="153"/>
      <c r="AI190" s="153"/>
      <c r="AJ190" s="153"/>
    </row>
    <row r="191" spans="1:36" s="3" customFormat="1" ht="23.25" customHeight="1">
      <c r="A191" s="230"/>
      <c r="B191" s="248"/>
      <c r="C191" s="184"/>
      <c r="D191" s="238"/>
      <c r="E191" s="238"/>
      <c r="F191" s="238"/>
      <c r="G191" s="238"/>
      <c r="H191" s="243"/>
      <c r="I191" s="247"/>
      <c r="J191" s="229"/>
      <c r="K191" s="229"/>
      <c r="L191" s="184"/>
      <c r="M191" s="233"/>
      <c r="N191" s="229"/>
      <c r="O191" s="229"/>
      <c r="P191" s="229"/>
      <c r="Q191" s="229"/>
      <c r="R191" s="229"/>
      <c r="S191" s="229"/>
      <c r="T191" s="229"/>
      <c r="U191" s="186" t="s">
        <v>421</v>
      </c>
      <c r="V191" s="191"/>
      <c r="W191" s="191"/>
      <c r="X191" s="164" t="s">
        <v>2</v>
      </c>
      <c r="Y191" s="161">
        <v>60</v>
      </c>
      <c r="Z191" s="183">
        <v>200000</v>
      </c>
      <c r="AA191" s="209"/>
      <c r="AB191" s="197">
        <v>0.5</v>
      </c>
      <c r="AC191" s="161">
        <f>Y191*Z191*AB191</f>
        <v>6000000</v>
      </c>
      <c r="AD191" s="243"/>
      <c r="AE191" s="228"/>
      <c r="AF191" s="155"/>
      <c r="AG191" s="153"/>
      <c r="AH191" s="153"/>
      <c r="AI191" s="153"/>
      <c r="AJ191" s="153"/>
    </row>
    <row r="192" spans="1:36" s="3" customFormat="1" ht="39" customHeight="1">
      <c r="A192" s="184">
        <v>27</v>
      </c>
      <c r="B192" s="190" t="s">
        <v>489</v>
      </c>
      <c r="C192" s="184"/>
      <c r="D192" s="164">
        <v>64</v>
      </c>
      <c r="E192" s="164">
        <v>406</v>
      </c>
      <c r="F192" s="164">
        <v>360.4</v>
      </c>
      <c r="G192" s="164" t="s">
        <v>397</v>
      </c>
      <c r="H192" s="161">
        <v>360</v>
      </c>
      <c r="I192" s="192">
        <f>F192-H192</f>
        <v>0.39999999999997726</v>
      </c>
      <c r="J192" s="172">
        <v>360</v>
      </c>
      <c r="K192" s="172">
        <v>1080</v>
      </c>
      <c r="L192" s="184"/>
      <c r="M192" s="194">
        <f>J192/K192*100</f>
        <v>33.333333333333329</v>
      </c>
      <c r="N192" s="172">
        <v>6</v>
      </c>
      <c r="O192" s="172">
        <v>5</v>
      </c>
      <c r="P192" s="172">
        <v>80000</v>
      </c>
      <c r="Q192" s="172">
        <f>P192*J192</f>
        <v>28800000</v>
      </c>
      <c r="R192" s="172">
        <f>Q192*3</f>
        <v>86400000</v>
      </c>
      <c r="S192" s="172">
        <f>N192*O192*S6</f>
        <v>15300000</v>
      </c>
      <c r="T192" s="172">
        <f>SUM(Q192:S192)</f>
        <v>130500000</v>
      </c>
      <c r="U192" s="182" t="s">
        <v>490</v>
      </c>
      <c r="V192" s="188"/>
      <c r="W192" s="188"/>
      <c r="X192" s="164" t="s">
        <v>0</v>
      </c>
      <c r="Y192" s="192">
        <v>360</v>
      </c>
      <c r="Z192" s="183">
        <v>97000</v>
      </c>
      <c r="AA192" s="214"/>
      <c r="AB192" s="216">
        <v>1</v>
      </c>
      <c r="AC192" s="161">
        <f>Y192*Z192*AB192</f>
        <v>34920000</v>
      </c>
      <c r="AD192" s="161">
        <f>SUM(AC192:AC192)</f>
        <v>34920000</v>
      </c>
      <c r="AE192" s="158">
        <f>T192+AD192</f>
        <v>165420000</v>
      </c>
      <c r="AF192" s="155"/>
      <c r="AG192" s="153"/>
      <c r="AH192" s="153"/>
      <c r="AI192" s="153"/>
      <c r="AJ192" s="153"/>
    </row>
    <row r="193" spans="1:36" s="3" customFormat="1" ht="37.5" customHeight="1">
      <c r="A193" s="184">
        <v>28</v>
      </c>
      <c r="B193" s="190" t="s">
        <v>491</v>
      </c>
      <c r="C193" s="184"/>
      <c r="D193" s="164">
        <v>64</v>
      </c>
      <c r="E193" s="164">
        <v>405</v>
      </c>
      <c r="F193" s="164">
        <v>359.9</v>
      </c>
      <c r="G193" s="164" t="s">
        <v>397</v>
      </c>
      <c r="H193" s="161">
        <v>360</v>
      </c>
      <c r="I193" s="192">
        <f>F193-H193</f>
        <v>-0.10000000000002274</v>
      </c>
      <c r="J193" s="172">
        <v>360</v>
      </c>
      <c r="K193" s="172">
        <v>360</v>
      </c>
      <c r="L193" s="184"/>
      <c r="M193" s="194">
        <f>J193/K193*100</f>
        <v>100</v>
      </c>
      <c r="N193" s="172">
        <v>12</v>
      </c>
      <c r="O193" s="172">
        <v>1</v>
      </c>
      <c r="P193" s="172">
        <v>80000</v>
      </c>
      <c r="Q193" s="172">
        <f>P193*J193</f>
        <v>28800000</v>
      </c>
      <c r="R193" s="172">
        <f>Q193*3</f>
        <v>86400000</v>
      </c>
      <c r="S193" s="172">
        <f>N193*O193*S6</f>
        <v>6120000</v>
      </c>
      <c r="T193" s="172">
        <f>SUM(Q193:S193)</f>
        <v>121320000</v>
      </c>
      <c r="U193" s="182" t="s">
        <v>490</v>
      </c>
      <c r="V193" s="188"/>
      <c r="W193" s="188"/>
      <c r="X193" s="164" t="s">
        <v>0</v>
      </c>
      <c r="Y193" s="192">
        <v>360</v>
      </c>
      <c r="Z193" s="183">
        <v>97000</v>
      </c>
      <c r="AA193" s="214"/>
      <c r="AB193" s="216">
        <v>1</v>
      </c>
      <c r="AC193" s="161">
        <f>Y193*Z193*AB193</f>
        <v>34920000</v>
      </c>
      <c r="AD193" s="161">
        <f>SUM(AC193:AC193)</f>
        <v>34920000</v>
      </c>
      <c r="AE193" s="158">
        <f>T193+AD193</f>
        <v>156240000</v>
      </c>
      <c r="AF193" s="155"/>
      <c r="AG193" s="153"/>
      <c r="AH193" s="153"/>
      <c r="AI193" s="153"/>
      <c r="AJ193" s="153"/>
    </row>
    <row r="194" spans="1:36" s="3" customFormat="1" ht="65.25" customHeight="1">
      <c r="A194" s="230">
        <v>29</v>
      </c>
      <c r="B194" s="190" t="s">
        <v>580</v>
      </c>
      <c r="C194" s="164" t="s">
        <v>39</v>
      </c>
      <c r="D194" s="164">
        <v>64</v>
      </c>
      <c r="E194" s="164">
        <v>404</v>
      </c>
      <c r="F194" s="164">
        <v>360.1</v>
      </c>
      <c r="G194" s="164" t="s">
        <v>397</v>
      </c>
      <c r="H194" s="161">
        <v>360</v>
      </c>
      <c r="I194" s="192">
        <f>F194-H194</f>
        <v>0.10000000000002274</v>
      </c>
      <c r="J194" s="243">
        <f>H194+H195</f>
        <v>828</v>
      </c>
      <c r="K194" s="243">
        <v>1080</v>
      </c>
      <c r="L194" s="243"/>
      <c r="M194" s="247">
        <f>J194/K194*100</f>
        <v>76.666666666666671</v>
      </c>
      <c r="N194" s="243">
        <v>12</v>
      </c>
      <c r="O194" s="243">
        <v>2</v>
      </c>
      <c r="P194" s="243">
        <v>80000</v>
      </c>
      <c r="Q194" s="243">
        <f>P194*J194</f>
        <v>66240000</v>
      </c>
      <c r="R194" s="243">
        <f>Q194*3</f>
        <v>198720000</v>
      </c>
      <c r="S194" s="243">
        <f>N194*O194*S6</f>
        <v>12240000</v>
      </c>
      <c r="T194" s="243">
        <f>SUM(Q194:S196)</f>
        <v>277200000</v>
      </c>
      <c r="U194" s="182" t="s">
        <v>490</v>
      </c>
      <c r="V194" s="188"/>
      <c r="W194" s="188"/>
      <c r="X194" s="164" t="s">
        <v>0</v>
      </c>
      <c r="Y194" s="192">
        <v>360</v>
      </c>
      <c r="Z194" s="183">
        <v>97000</v>
      </c>
      <c r="AA194" s="214"/>
      <c r="AB194" s="216">
        <v>1</v>
      </c>
      <c r="AC194" s="161">
        <f>Y194*Z194*AB194</f>
        <v>34920000</v>
      </c>
      <c r="AD194" s="161">
        <f>SUM(AC194:AC194)</f>
        <v>34920000</v>
      </c>
      <c r="AE194" s="228">
        <f>T194+AD194+AD195</f>
        <v>397620000</v>
      </c>
      <c r="AF194" s="155"/>
      <c r="AG194" s="153"/>
      <c r="AH194" s="153"/>
      <c r="AI194" s="153"/>
      <c r="AJ194" s="153"/>
    </row>
    <row r="195" spans="1:36" s="3" customFormat="1" ht="36" customHeight="1">
      <c r="A195" s="230"/>
      <c r="B195" s="235" t="s">
        <v>579</v>
      </c>
      <c r="C195" s="230"/>
      <c r="D195" s="230">
        <v>64</v>
      </c>
      <c r="E195" s="230">
        <v>446</v>
      </c>
      <c r="F195" s="230">
        <v>484.4</v>
      </c>
      <c r="G195" s="230" t="s">
        <v>28</v>
      </c>
      <c r="H195" s="229">
        <v>468</v>
      </c>
      <c r="I195" s="242">
        <f>F195-H195</f>
        <v>16.399999999999977</v>
      </c>
      <c r="J195" s="243"/>
      <c r="K195" s="243"/>
      <c r="L195" s="243"/>
      <c r="M195" s="247"/>
      <c r="N195" s="243"/>
      <c r="O195" s="243"/>
      <c r="P195" s="243"/>
      <c r="Q195" s="243"/>
      <c r="R195" s="243"/>
      <c r="S195" s="243"/>
      <c r="T195" s="243"/>
      <c r="U195" s="182" t="s">
        <v>457</v>
      </c>
      <c r="V195" s="161">
        <v>25</v>
      </c>
      <c r="W195" s="191">
        <f>H195/25</f>
        <v>18.72</v>
      </c>
      <c r="X195" s="164" t="s">
        <v>2</v>
      </c>
      <c r="Y195" s="161">
        <v>19</v>
      </c>
      <c r="Z195" s="183"/>
      <c r="AA195" s="214"/>
      <c r="AB195" s="216"/>
      <c r="AC195" s="161"/>
      <c r="AD195" s="243">
        <f>SUM(AC195:AC196)</f>
        <v>85500000</v>
      </c>
      <c r="AE195" s="228"/>
      <c r="AF195" s="155" t="s">
        <v>492</v>
      </c>
      <c r="AG195" s="153"/>
      <c r="AH195" s="153"/>
      <c r="AI195" s="153"/>
      <c r="AJ195" s="153"/>
    </row>
    <row r="196" spans="1:36" s="3" customFormat="1" ht="26.25" customHeight="1">
      <c r="A196" s="230"/>
      <c r="B196" s="235"/>
      <c r="C196" s="230"/>
      <c r="D196" s="230"/>
      <c r="E196" s="230"/>
      <c r="F196" s="230"/>
      <c r="G196" s="230"/>
      <c r="H196" s="229"/>
      <c r="I196" s="242"/>
      <c r="J196" s="243"/>
      <c r="K196" s="243"/>
      <c r="L196" s="243"/>
      <c r="M196" s="247"/>
      <c r="N196" s="243"/>
      <c r="O196" s="243"/>
      <c r="P196" s="243"/>
      <c r="Q196" s="243"/>
      <c r="R196" s="243"/>
      <c r="S196" s="243"/>
      <c r="T196" s="243"/>
      <c r="U196" s="186" t="s">
        <v>421</v>
      </c>
      <c r="V196" s="191"/>
      <c r="W196" s="191"/>
      <c r="X196" s="164" t="s">
        <v>2</v>
      </c>
      <c r="Y196" s="161">
        <v>19</v>
      </c>
      <c r="Z196" s="183">
        <v>4500000</v>
      </c>
      <c r="AA196" s="214"/>
      <c r="AB196" s="216">
        <v>1</v>
      </c>
      <c r="AC196" s="161">
        <f t="shared" ref="AC196" si="26">Y196*Z196*AB196</f>
        <v>85500000</v>
      </c>
      <c r="AD196" s="243"/>
      <c r="AE196" s="228"/>
      <c r="AF196" s="155"/>
      <c r="AG196" s="153"/>
      <c r="AH196" s="153"/>
      <c r="AI196" s="153"/>
      <c r="AJ196" s="153"/>
    </row>
    <row r="197" spans="1:36" s="3" customFormat="1" ht="36.75" customHeight="1">
      <c r="A197" s="230">
        <v>30</v>
      </c>
      <c r="B197" s="248" t="s">
        <v>493</v>
      </c>
      <c r="C197" s="238" t="s">
        <v>35</v>
      </c>
      <c r="D197" s="238">
        <v>64</v>
      </c>
      <c r="E197" s="238">
        <v>451</v>
      </c>
      <c r="F197" s="238">
        <v>596</v>
      </c>
      <c r="G197" s="238" t="s">
        <v>28</v>
      </c>
      <c r="H197" s="243">
        <v>576</v>
      </c>
      <c r="I197" s="247">
        <f>F197-H197</f>
        <v>20</v>
      </c>
      <c r="J197" s="243">
        <v>576</v>
      </c>
      <c r="K197" s="243">
        <v>1296</v>
      </c>
      <c r="L197" s="238"/>
      <c r="M197" s="244">
        <f>J197/K197*100</f>
        <v>44.444444444444443</v>
      </c>
      <c r="N197" s="243">
        <v>6</v>
      </c>
      <c r="O197" s="243">
        <v>5</v>
      </c>
      <c r="P197" s="243">
        <v>80000</v>
      </c>
      <c r="Q197" s="243">
        <f>P197*J197</f>
        <v>46080000</v>
      </c>
      <c r="R197" s="243">
        <f>Q197*3</f>
        <v>138240000</v>
      </c>
      <c r="S197" s="243">
        <f>N197*O197*S6</f>
        <v>15300000</v>
      </c>
      <c r="T197" s="243">
        <f>SUM(Q197:S201)</f>
        <v>199620000</v>
      </c>
      <c r="U197" s="182" t="s">
        <v>457</v>
      </c>
      <c r="V197" s="191">
        <v>25</v>
      </c>
      <c r="W197" s="191">
        <f>J197/V197</f>
        <v>23.04</v>
      </c>
      <c r="X197" s="164" t="s">
        <v>2</v>
      </c>
      <c r="Y197" s="161">
        <v>22</v>
      </c>
      <c r="Z197" s="183"/>
      <c r="AA197" s="214"/>
      <c r="AB197" s="216"/>
      <c r="AC197" s="161"/>
      <c r="AD197" s="243">
        <f>SUM(AC197:AC201)</f>
        <v>114250000</v>
      </c>
      <c r="AE197" s="228">
        <f>T197+AD197</f>
        <v>313870000</v>
      </c>
      <c r="AF197" s="155" t="s">
        <v>428</v>
      </c>
      <c r="AG197" s="153"/>
      <c r="AH197" s="153"/>
      <c r="AI197" s="153"/>
      <c r="AJ197" s="153"/>
    </row>
    <row r="198" spans="1:36" s="3" customFormat="1" ht="24.75" customHeight="1">
      <c r="A198" s="230"/>
      <c r="B198" s="248"/>
      <c r="C198" s="238"/>
      <c r="D198" s="238"/>
      <c r="E198" s="238"/>
      <c r="F198" s="238"/>
      <c r="G198" s="238"/>
      <c r="H198" s="243"/>
      <c r="I198" s="247"/>
      <c r="J198" s="243"/>
      <c r="K198" s="243"/>
      <c r="L198" s="238"/>
      <c r="M198" s="244"/>
      <c r="N198" s="243"/>
      <c r="O198" s="243"/>
      <c r="P198" s="243"/>
      <c r="Q198" s="243"/>
      <c r="R198" s="243"/>
      <c r="S198" s="243"/>
      <c r="T198" s="243"/>
      <c r="U198" s="186" t="s">
        <v>421</v>
      </c>
      <c r="V198" s="191"/>
      <c r="W198" s="191"/>
      <c r="X198" s="164" t="s">
        <v>2</v>
      </c>
      <c r="Y198" s="161">
        <v>22</v>
      </c>
      <c r="Z198" s="183">
        <v>4500000</v>
      </c>
      <c r="AA198" s="214"/>
      <c r="AB198" s="216">
        <v>1</v>
      </c>
      <c r="AC198" s="161">
        <f t="shared" ref="AC198:AC202" si="27">Y198*Z198*AB198</f>
        <v>99000000</v>
      </c>
      <c r="AD198" s="243"/>
      <c r="AE198" s="228"/>
      <c r="AF198" s="155"/>
      <c r="AG198" s="153"/>
      <c r="AH198" s="153"/>
      <c r="AI198" s="153"/>
      <c r="AJ198" s="153"/>
    </row>
    <row r="199" spans="1:36" s="3" customFormat="1" ht="37.5" customHeight="1">
      <c r="A199" s="230"/>
      <c r="B199" s="248"/>
      <c r="C199" s="238"/>
      <c r="D199" s="238"/>
      <c r="E199" s="238"/>
      <c r="F199" s="238"/>
      <c r="G199" s="238"/>
      <c r="H199" s="243"/>
      <c r="I199" s="247"/>
      <c r="J199" s="243"/>
      <c r="K199" s="243"/>
      <c r="L199" s="238"/>
      <c r="M199" s="244"/>
      <c r="N199" s="243"/>
      <c r="O199" s="243"/>
      <c r="P199" s="243"/>
      <c r="Q199" s="243"/>
      <c r="R199" s="243"/>
      <c r="S199" s="243"/>
      <c r="T199" s="243"/>
      <c r="U199" s="182" t="s">
        <v>422</v>
      </c>
      <c r="V199" s="191">
        <v>20</v>
      </c>
      <c r="W199" s="191">
        <f>J197/V199</f>
        <v>28.8</v>
      </c>
      <c r="X199" s="164" t="s">
        <v>2</v>
      </c>
      <c r="Y199" s="161">
        <v>10</v>
      </c>
      <c r="Z199" s="183"/>
      <c r="AA199" s="214"/>
      <c r="AB199" s="216"/>
      <c r="AC199" s="161"/>
      <c r="AD199" s="243"/>
      <c r="AE199" s="228"/>
      <c r="AF199" s="155"/>
      <c r="AG199" s="153"/>
      <c r="AH199" s="153"/>
      <c r="AI199" s="153"/>
      <c r="AJ199" s="153"/>
    </row>
    <row r="200" spans="1:36" s="3" customFormat="1" ht="23.25" customHeight="1">
      <c r="A200" s="230"/>
      <c r="B200" s="248"/>
      <c r="C200" s="238"/>
      <c r="D200" s="238"/>
      <c r="E200" s="238"/>
      <c r="F200" s="238"/>
      <c r="G200" s="238"/>
      <c r="H200" s="243"/>
      <c r="I200" s="247"/>
      <c r="J200" s="243"/>
      <c r="K200" s="243"/>
      <c r="L200" s="238"/>
      <c r="M200" s="244"/>
      <c r="N200" s="243"/>
      <c r="O200" s="243"/>
      <c r="P200" s="243"/>
      <c r="Q200" s="243"/>
      <c r="R200" s="243"/>
      <c r="S200" s="243"/>
      <c r="T200" s="243"/>
      <c r="U200" s="186" t="s">
        <v>421</v>
      </c>
      <c r="V200" s="191"/>
      <c r="W200" s="191"/>
      <c r="X200" s="164" t="s">
        <v>2</v>
      </c>
      <c r="Y200" s="161">
        <v>10</v>
      </c>
      <c r="Z200" s="183">
        <v>1800000</v>
      </c>
      <c r="AA200" s="214"/>
      <c r="AB200" s="216">
        <v>0.5</v>
      </c>
      <c r="AC200" s="161">
        <f t="shared" si="27"/>
        <v>9000000</v>
      </c>
      <c r="AD200" s="243"/>
      <c r="AE200" s="228"/>
      <c r="AF200" s="155"/>
      <c r="AG200" s="153"/>
      <c r="AH200" s="153"/>
      <c r="AI200" s="153"/>
      <c r="AJ200" s="153"/>
    </row>
    <row r="201" spans="1:36" s="3" customFormat="1" ht="24" customHeight="1">
      <c r="A201" s="230"/>
      <c r="B201" s="248"/>
      <c r="C201" s="238"/>
      <c r="D201" s="238"/>
      <c r="E201" s="238"/>
      <c r="F201" s="238"/>
      <c r="G201" s="238"/>
      <c r="H201" s="243"/>
      <c r="I201" s="247"/>
      <c r="J201" s="243"/>
      <c r="K201" s="243"/>
      <c r="L201" s="238"/>
      <c r="M201" s="244"/>
      <c r="N201" s="243"/>
      <c r="O201" s="243"/>
      <c r="P201" s="243"/>
      <c r="Q201" s="243"/>
      <c r="R201" s="243"/>
      <c r="S201" s="243"/>
      <c r="T201" s="243"/>
      <c r="U201" s="173" t="s">
        <v>558</v>
      </c>
      <c r="V201" s="191"/>
      <c r="W201" s="191"/>
      <c r="X201" s="164" t="s">
        <v>0</v>
      </c>
      <c r="Y201" s="192">
        <v>500</v>
      </c>
      <c r="Z201" s="183">
        <v>12500</v>
      </c>
      <c r="AA201" s="214"/>
      <c r="AB201" s="216">
        <v>1</v>
      </c>
      <c r="AC201" s="161">
        <f t="shared" si="27"/>
        <v>6250000</v>
      </c>
      <c r="AD201" s="243"/>
      <c r="AE201" s="228"/>
      <c r="AF201" s="155"/>
      <c r="AG201" s="153"/>
      <c r="AH201" s="153"/>
      <c r="AI201" s="153"/>
      <c r="AJ201" s="153"/>
    </row>
    <row r="202" spans="1:36" s="19" customFormat="1" ht="24" customHeight="1">
      <c r="A202" s="230">
        <v>31</v>
      </c>
      <c r="B202" s="235" t="s">
        <v>494</v>
      </c>
      <c r="C202" s="238" t="s">
        <v>39</v>
      </c>
      <c r="D202" s="238">
        <v>64</v>
      </c>
      <c r="E202" s="238">
        <v>414</v>
      </c>
      <c r="F202" s="238">
        <v>1432.8</v>
      </c>
      <c r="G202" s="238" t="s">
        <v>28</v>
      </c>
      <c r="H202" s="243">
        <v>1440</v>
      </c>
      <c r="I202" s="247">
        <f>F202-H202</f>
        <v>-7.2000000000000455</v>
      </c>
      <c r="J202" s="243">
        <f>H202+H219</f>
        <v>1836</v>
      </c>
      <c r="K202" s="243">
        <v>3276</v>
      </c>
      <c r="L202" s="243"/>
      <c r="M202" s="247">
        <f>J202/K202*100</f>
        <v>56.043956043956044</v>
      </c>
      <c r="N202" s="243">
        <v>6</v>
      </c>
      <c r="O202" s="243">
        <v>5</v>
      </c>
      <c r="P202" s="243">
        <v>80000</v>
      </c>
      <c r="Q202" s="243">
        <f>P202*J202</f>
        <v>146880000</v>
      </c>
      <c r="R202" s="243">
        <f>Q202*3</f>
        <v>440640000</v>
      </c>
      <c r="S202" s="243">
        <f>N202*O202*S6</f>
        <v>15300000</v>
      </c>
      <c r="T202" s="243">
        <f>SUM(Q202:S219)</f>
        <v>602820000</v>
      </c>
      <c r="U202" s="210" t="s">
        <v>446</v>
      </c>
      <c r="V202" s="191"/>
      <c r="W202" s="191"/>
      <c r="X202" s="164" t="s">
        <v>0</v>
      </c>
      <c r="Y202" s="215">
        <v>720</v>
      </c>
      <c r="Z202" s="183">
        <v>180000</v>
      </c>
      <c r="AA202" s="209"/>
      <c r="AB202" s="197">
        <v>1</v>
      </c>
      <c r="AC202" s="161">
        <f t="shared" si="27"/>
        <v>129600000</v>
      </c>
      <c r="AD202" s="243">
        <f>SUM(AC202:AC218)</f>
        <v>257652000</v>
      </c>
      <c r="AE202" s="228">
        <f>T202+AD202+AD219</f>
        <v>931212000</v>
      </c>
      <c r="AF202" s="155" t="s">
        <v>398</v>
      </c>
      <c r="AG202" s="153"/>
      <c r="AH202" s="153"/>
      <c r="AI202" s="153"/>
      <c r="AJ202" s="153"/>
    </row>
    <row r="203" spans="1:36" s="19" customFormat="1" ht="34.5" customHeight="1">
      <c r="A203" s="230"/>
      <c r="B203" s="235"/>
      <c r="C203" s="238"/>
      <c r="D203" s="238"/>
      <c r="E203" s="238"/>
      <c r="F203" s="238"/>
      <c r="G203" s="238"/>
      <c r="H203" s="243"/>
      <c r="I203" s="247"/>
      <c r="J203" s="243"/>
      <c r="K203" s="243"/>
      <c r="L203" s="243"/>
      <c r="M203" s="247"/>
      <c r="N203" s="243"/>
      <c r="O203" s="243"/>
      <c r="P203" s="243"/>
      <c r="Q203" s="243"/>
      <c r="R203" s="243"/>
      <c r="S203" s="243"/>
      <c r="T203" s="243"/>
      <c r="U203" s="182" t="s">
        <v>495</v>
      </c>
      <c r="V203" s="191">
        <v>25</v>
      </c>
      <c r="W203" s="191">
        <f>(H202-Y202-Y210-8)/25</f>
        <v>27.52</v>
      </c>
      <c r="X203" s="164" t="s">
        <v>2</v>
      </c>
      <c r="Y203" s="161">
        <v>32</v>
      </c>
      <c r="Z203" s="183"/>
      <c r="AA203" s="214"/>
      <c r="AB203" s="216"/>
      <c r="AC203" s="161"/>
      <c r="AD203" s="243"/>
      <c r="AE203" s="228"/>
      <c r="AF203" s="155"/>
      <c r="AG203" s="153"/>
      <c r="AH203" s="153"/>
      <c r="AI203" s="153"/>
      <c r="AJ203" s="153"/>
    </row>
    <row r="204" spans="1:36" s="19" customFormat="1" ht="21.75" customHeight="1">
      <c r="A204" s="230"/>
      <c r="B204" s="235"/>
      <c r="C204" s="238"/>
      <c r="D204" s="238"/>
      <c r="E204" s="238"/>
      <c r="F204" s="238"/>
      <c r="G204" s="238"/>
      <c r="H204" s="243"/>
      <c r="I204" s="247"/>
      <c r="J204" s="243"/>
      <c r="K204" s="243"/>
      <c r="L204" s="243"/>
      <c r="M204" s="247"/>
      <c r="N204" s="243"/>
      <c r="O204" s="243"/>
      <c r="P204" s="243"/>
      <c r="Q204" s="243"/>
      <c r="R204" s="243"/>
      <c r="S204" s="243"/>
      <c r="T204" s="243"/>
      <c r="U204" s="186" t="s">
        <v>421</v>
      </c>
      <c r="V204" s="191"/>
      <c r="W204" s="191"/>
      <c r="X204" s="164" t="s">
        <v>2</v>
      </c>
      <c r="Y204" s="161">
        <v>28</v>
      </c>
      <c r="Z204" s="183">
        <v>4500000</v>
      </c>
      <c r="AA204" s="214"/>
      <c r="AB204" s="216">
        <v>1</v>
      </c>
      <c r="AC204" s="161">
        <f>Y204*Z204*AB204</f>
        <v>126000000</v>
      </c>
      <c r="AD204" s="243"/>
      <c r="AE204" s="228"/>
      <c r="AF204" s="155"/>
      <c r="AG204" s="153"/>
      <c r="AH204" s="153"/>
      <c r="AI204" s="153"/>
      <c r="AJ204" s="153"/>
    </row>
    <row r="205" spans="1:36" s="19" customFormat="1" ht="21.75" customHeight="1">
      <c r="A205" s="230"/>
      <c r="B205" s="235"/>
      <c r="C205" s="238"/>
      <c r="D205" s="238"/>
      <c r="E205" s="238"/>
      <c r="F205" s="238"/>
      <c r="G205" s="238"/>
      <c r="H205" s="243"/>
      <c r="I205" s="247"/>
      <c r="J205" s="243"/>
      <c r="K205" s="243"/>
      <c r="L205" s="243"/>
      <c r="M205" s="247"/>
      <c r="N205" s="243"/>
      <c r="O205" s="243"/>
      <c r="P205" s="243"/>
      <c r="Q205" s="243"/>
      <c r="R205" s="243"/>
      <c r="S205" s="243"/>
      <c r="T205" s="243"/>
      <c r="U205" s="186" t="s">
        <v>423</v>
      </c>
      <c r="V205" s="191"/>
      <c r="W205" s="191">
        <f>0.3*3</f>
        <v>0.89999999999999991</v>
      </c>
      <c r="X205" s="164" t="s">
        <v>2</v>
      </c>
      <c r="Y205" s="161">
        <v>1</v>
      </c>
      <c r="Z205" s="183">
        <v>1800000</v>
      </c>
      <c r="AA205" s="214"/>
      <c r="AB205" s="216">
        <v>0.3</v>
      </c>
      <c r="AC205" s="161">
        <f t="shared" ref="AC205:AC206" si="28">Y205*Z205*AB205</f>
        <v>540000</v>
      </c>
      <c r="AD205" s="243"/>
      <c r="AE205" s="228"/>
      <c r="AF205" s="155"/>
      <c r="AG205" s="153"/>
      <c r="AH205" s="153"/>
      <c r="AI205" s="153"/>
      <c r="AJ205" s="153"/>
    </row>
    <row r="206" spans="1:36" s="19" customFormat="1" ht="21.75" customHeight="1">
      <c r="A206" s="230"/>
      <c r="B206" s="235"/>
      <c r="C206" s="238"/>
      <c r="D206" s="238"/>
      <c r="E206" s="238"/>
      <c r="F206" s="238"/>
      <c r="G206" s="238"/>
      <c r="H206" s="243"/>
      <c r="I206" s="247"/>
      <c r="J206" s="243"/>
      <c r="K206" s="243"/>
      <c r="L206" s="243"/>
      <c r="M206" s="247"/>
      <c r="N206" s="243"/>
      <c r="O206" s="243"/>
      <c r="P206" s="243"/>
      <c r="Q206" s="243"/>
      <c r="R206" s="243"/>
      <c r="S206" s="243"/>
      <c r="T206" s="243"/>
      <c r="U206" s="186" t="s">
        <v>424</v>
      </c>
      <c r="V206" s="191"/>
      <c r="W206" s="191"/>
      <c r="X206" s="164" t="s">
        <v>2</v>
      </c>
      <c r="Y206" s="161">
        <v>3</v>
      </c>
      <c r="Z206" s="183">
        <v>1800000</v>
      </c>
      <c r="AA206" s="214"/>
      <c r="AB206" s="216">
        <v>0</v>
      </c>
      <c r="AC206" s="161">
        <f t="shared" si="28"/>
        <v>0</v>
      </c>
      <c r="AD206" s="243"/>
      <c r="AE206" s="228"/>
      <c r="AF206" s="155"/>
      <c r="AG206" s="153"/>
      <c r="AH206" s="153"/>
      <c r="AI206" s="153"/>
      <c r="AJ206" s="153"/>
    </row>
    <row r="207" spans="1:36" s="19" customFormat="1" ht="36.75" customHeight="1">
      <c r="A207" s="230"/>
      <c r="B207" s="235"/>
      <c r="C207" s="238"/>
      <c r="D207" s="238"/>
      <c r="E207" s="238"/>
      <c r="F207" s="238"/>
      <c r="G207" s="238"/>
      <c r="H207" s="243"/>
      <c r="I207" s="247"/>
      <c r="J207" s="243"/>
      <c r="K207" s="243"/>
      <c r="L207" s="243"/>
      <c r="M207" s="247"/>
      <c r="N207" s="243"/>
      <c r="O207" s="243"/>
      <c r="P207" s="243"/>
      <c r="Q207" s="243"/>
      <c r="R207" s="243"/>
      <c r="S207" s="243"/>
      <c r="T207" s="243"/>
      <c r="U207" s="173" t="s">
        <v>496</v>
      </c>
      <c r="V207" s="188">
        <v>10</v>
      </c>
      <c r="W207" s="191">
        <f>(H202-Y202-Y210-8)/10</f>
        <v>68.8</v>
      </c>
      <c r="X207" s="164" t="s">
        <v>2</v>
      </c>
      <c r="Y207" s="192">
        <v>150</v>
      </c>
      <c r="Z207" s="183"/>
      <c r="AA207" s="214"/>
      <c r="AB207" s="216"/>
      <c r="AC207" s="161"/>
      <c r="AD207" s="243"/>
      <c r="AE207" s="228"/>
      <c r="AF207" s="155"/>
      <c r="AG207" s="153"/>
      <c r="AH207" s="153"/>
      <c r="AI207" s="153"/>
      <c r="AJ207" s="153"/>
    </row>
    <row r="208" spans="1:36" s="19" customFormat="1" ht="27.75" customHeight="1">
      <c r="A208" s="230"/>
      <c r="B208" s="235"/>
      <c r="C208" s="238"/>
      <c r="D208" s="238"/>
      <c r="E208" s="238"/>
      <c r="F208" s="238"/>
      <c r="G208" s="238"/>
      <c r="H208" s="243"/>
      <c r="I208" s="247"/>
      <c r="J208" s="243"/>
      <c r="K208" s="243"/>
      <c r="L208" s="243"/>
      <c r="M208" s="247"/>
      <c r="N208" s="243"/>
      <c r="O208" s="243"/>
      <c r="P208" s="243"/>
      <c r="Q208" s="243"/>
      <c r="R208" s="243"/>
      <c r="S208" s="243"/>
      <c r="T208" s="243"/>
      <c r="U208" s="186" t="s">
        <v>497</v>
      </c>
      <c r="V208" s="191"/>
      <c r="W208" s="191">
        <f>0.3*W207</f>
        <v>20.639999999999997</v>
      </c>
      <c r="X208" s="164" t="s">
        <v>2</v>
      </c>
      <c r="Y208" s="215">
        <v>21</v>
      </c>
      <c r="Z208" s="183">
        <v>240000</v>
      </c>
      <c r="AA208" s="214"/>
      <c r="AB208" s="216">
        <v>0.3</v>
      </c>
      <c r="AC208" s="161">
        <f t="shared" ref="AC208" si="29">Y208*Z208*AB208</f>
        <v>1512000</v>
      </c>
      <c r="AD208" s="243"/>
      <c r="AE208" s="228"/>
      <c r="AF208" s="155"/>
      <c r="AG208" s="153"/>
      <c r="AH208" s="153"/>
      <c r="AI208" s="153"/>
      <c r="AJ208" s="153"/>
    </row>
    <row r="209" spans="1:36" s="19" customFormat="1" ht="27.75" customHeight="1">
      <c r="A209" s="230"/>
      <c r="B209" s="235"/>
      <c r="C209" s="238"/>
      <c r="D209" s="238"/>
      <c r="E209" s="238"/>
      <c r="F209" s="238"/>
      <c r="G209" s="238"/>
      <c r="H209" s="243"/>
      <c r="I209" s="247"/>
      <c r="J209" s="243"/>
      <c r="K209" s="243"/>
      <c r="L209" s="243"/>
      <c r="M209" s="247"/>
      <c r="N209" s="243"/>
      <c r="O209" s="243"/>
      <c r="P209" s="243"/>
      <c r="Q209" s="243"/>
      <c r="R209" s="243"/>
      <c r="S209" s="243"/>
      <c r="T209" s="243"/>
      <c r="U209" s="186" t="s">
        <v>486</v>
      </c>
      <c r="V209" s="191"/>
      <c r="W209" s="191"/>
      <c r="X209" s="164" t="s">
        <v>2</v>
      </c>
      <c r="Y209" s="215">
        <v>129</v>
      </c>
      <c r="Z209" s="183">
        <v>240000</v>
      </c>
      <c r="AA209" s="214"/>
      <c r="AB209" s="216">
        <v>0</v>
      </c>
      <c r="AC209" s="161">
        <f t="shared" ref="AC209" si="30">Y209*Z209*AB209/100</f>
        <v>0</v>
      </c>
      <c r="AD209" s="243"/>
      <c r="AE209" s="228"/>
      <c r="AF209" s="155"/>
      <c r="AG209" s="153"/>
      <c r="AH209" s="153"/>
      <c r="AI209" s="153"/>
      <c r="AJ209" s="153"/>
    </row>
    <row r="210" spans="1:36" s="19" customFormat="1" ht="66.75" customHeight="1">
      <c r="A210" s="230"/>
      <c r="B210" s="235"/>
      <c r="C210" s="238"/>
      <c r="D210" s="238"/>
      <c r="E210" s="238"/>
      <c r="F210" s="238"/>
      <c r="G210" s="238"/>
      <c r="H210" s="243"/>
      <c r="I210" s="247"/>
      <c r="J210" s="243"/>
      <c r="K210" s="243"/>
      <c r="L210" s="243"/>
      <c r="M210" s="247"/>
      <c r="N210" s="243"/>
      <c r="O210" s="243"/>
      <c r="P210" s="243"/>
      <c r="Q210" s="243"/>
      <c r="R210" s="243"/>
      <c r="S210" s="243"/>
      <c r="T210" s="243"/>
      <c r="U210" s="173" t="s">
        <v>561</v>
      </c>
      <c r="V210" s="191"/>
      <c r="W210" s="191"/>
      <c r="X210" s="164" t="s">
        <v>0</v>
      </c>
      <c r="Y210" s="192">
        <v>24</v>
      </c>
      <c r="Z210" s="183"/>
      <c r="AA210" s="214"/>
      <c r="AB210" s="216"/>
      <c r="AC210" s="161"/>
      <c r="AD210" s="243"/>
      <c r="AE210" s="228"/>
      <c r="AF210" s="155"/>
      <c r="AG210" s="153"/>
      <c r="AH210" s="153"/>
      <c r="AI210" s="153"/>
      <c r="AJ210" s="153"/>
    </row>
    <row r="211" spans="1:36" s="19" customFormat="1" ht="27.75" customHeight="1">
      <c r="A211" s="230"/>
      <c r="B211" s="235"/>
      <c r="C211" s="238"/>
      <c r="D211" s="238"/>
      <c r="E211" s="238"/>
      <c r="F211" s="238"/>
      <c r="G211" s="238"/>
      <c r="H211" s="243"/>
      <c r="I211" s="247"/>
      <c r="J211" s="243"/>
      <c r="K211" s="243"/>
      <c r="L211" s="243"/>
      <c r="M211" s="247"/>
      <c r="N211" s="243"/>
      <c r="O211" s="243"/>
      <c r="P211" s="243"/>
      <c r="Q211" s="243"/>
      <c r="R211" s="243"/>
      <c r="S211" s="243"/>
      <c r="T211" s="243"/>
      <c r="U211" s="179" t="s">
        <v>562</v>
      </c>
      <c r="V211" s="191"/>
      <c r="W211" s="191"/>
      <c r="X211" s="164" t="s">
        <v>0</v>
      </c>
      <c r="Y211" s="192">
        <v>36</v>
      </c>
      <c r="Z211" s="183"/>
      <c r="AA211" s="214"/>
      <c r="AB211" s="216"/>
      <c r="AC211" s="161"/>
      <c r="AD211" s="243"/>
      <c r="AE211" s="228"/>
      <c r="AF211" s="155"/>
      <c r="AG211" s="153"/>
      <c r="AH211" s="153"/>
      <c r="AI211" s="153"/>
      <c r="AJ211" s="153"/>
    </row>
    <row r="212" spans="1:36" s="19" customFormat="1" ht="55.5" customHeight="1">
      <c r="A212" s="230"/>
      <c r="B212" s="235"/>
      <c r="C212" s="238"/>
      <c r="D212" s="238"/>
      <c r="E212" s="238"/>
      <c r="F212" s="238"/>
      <c r="G212" s="238"/>
      <c r="H212" s="243"/>
      <c r="I212" s="247"/>
      <c r="J212" s="243"/>
      <c r="K212" s="243"/>
      <c r="L212" s="243"/>
      <c r="M212" s="247"/>
      <c r="N212" s="243"/>
      <c r="O212" s="243"/>
      <c r="P212" s="243"/>
      <c r="Q212" s="243"/>
      <c r="R212" s="243"/>
      <c r="S212" s="243"/>
      <c r="T212" s="243"/>
      <c r="U212" s="173" t="s">
        <v>483</v>
      </c>
      <c r="V212" s="191"/>
      <c r="W212" s="191"/>
      <c r="X212" s="164" t="s">
        <v>0</v>
      </c>
      <c r="Y212" s="192">
        <v>93</v>
      </c>
      <c r="Z212" s="183"/>
      <c r="AA212" s="214"/>
      <c r="AB212" s="216"/>
      <c r="AC212" s="161"/>
      <c r="AD212" s="243"/>
      <c r="AE212" s="228"/>
      <c r="AF212" s="155"/>
      <c r="AG212" s="153"/>
      <c r="AH212" s="153"/>
      <c r="AI212" s="153"/>
      <c r="AJ212" s="153"/>
    </row>
    <row r="213" spans="1:36" s="19" customFormat="1" ht="27.75" customHeight="1">
      <c r="A213" s="230"/>
      <c r="B213" s="235"/>
      <c r="C213" s="238"/>
      <c r="D213" s="238"/>
      <c r="E213" s="238"/>
      <c r="F213" s="238"/>
      <c r="G213" s="238"/>
      <c r="H213" s="243"/>
      <c r="I213" s="247"/>
      <c r="J213" s="243"/>
      <c r="K213" s="243"/>
      <c r="L213" s="243"/>
      <c r="M213" s="247"/>
      <c r="N213" s="243"/>
      <c r="O213" s="243"/>
      <c r="P213" s="243"/>
      <c r="Q213" s="243"/>
      <c r="R213" s="243"/>
      <c r="S213" s="243"/>
      <c r="T213" s="243"/>
      <c r="U213" s="179" t="s">
        <v>563</v>
      </c>
      <c r="V213" s="191"/>
      <c r="W213" s="191"/>
      <c r="X213" s="164" t="s">
        <v>0</v>
      </c>
      <c r="Y213" s="192">
        <v>277</v>
      </c>
      <c r="Z213" s="183"/>
      <c r="AA213" s="214"/>
      <c r="AB213" s="216"/>
      <c r="AC213" s="161"/>
      <c r="AD213" s="243"/>
      <c r="AE213" s="228"/>
      <c r="AF213" s="155"/>
      <c r="AG213" s="153"/>
      <c r="AH213" s="153"/>
      <c r="AI213" s="153"/>
      <c r="AJ213" s="153"/>
    </row>
    <row r="214" spans="1:36" s="19" customFormat="1" ht="42.75" customHeight="1">
      <c r="A214" s="230"/>
      <c r="B214" s="235"/>
      <c r="C214" s="238"/>
      <c r="D214" s="238"/>
      <c r="E214" s="238"/>
      <c r="F214" s="238"/>
      <c r="G214" s="238"/>
      <c r="H214" s="243"/>
      <c r="I214" s="247"/>
      <c r="J214" s="243"/>
      <c r="K214" s="243"/>
      <c r="L214" s="243"/>
      <c r="M214" s="247"/>
      <c r="N214" s="243"/>
      <c r="O214" s="243"/>
      <c r="P214" s="243"/>
      <c r="Q214" s="243"/>
      <c r="R214" s="243"/>
      <c r="S214" s="243"/>
      <c r="T214" s="243"/>
      <c r="U214" s="173" t="s">
        <v>564</v>
      </c>
      <c r="V214" s="191"/>
      <c r="W214" s="191"/>
      <c r="X214" s="164" t="s">
        <v>400</v>
      </c>
      <c r="Y214" s="192">
        <v>7</v>
      </c>
      <c r="Z214" s="183"/>
      <c r="AA214" s="214"/>
      <c r="AB214" s="216"/>
      <c r="AC214" s="161"/>
      <c r="AD214" s="243"/>
      <c r="AE214" s="228"/>
      <c r="AF214" s="155"/>
      <c r="AG214" s="153"/>
      <c r="AH214" s="153"/>
      <c r="AI214" s="153"/>
      <c r="AJ214" s="153"/>
    </row>
    <row r="215" spans="1:36" s="19" customFormat="1" ht="42.75" customHeight="1">
      <c r="A215" s="230"/>
      <c r="B215" s="235"/>
      <c r="C215" s="238"/>
      <c r="D215" s="238"/>
      <c r="E215" s="238"/>
      <c r="F215" s="238"/>
      <c r="G215" s="238"/>
      <c r="H215" s="243"/>
      <c r="I215" s="247"/>
      <c r="J215" s="243"/>
      <c r="K215" s="243"/>
      <c r="L215" s="243"/>
      <c r="M215" s="247"/>
      <c r="N215" s="243"/>
      <c r="O215" s="243"/>
      <c r="P215" s="243"/>
      <c r="Q215" s="243"/>
      <c r="R215" s="243"/>
      <c r="S215" s="243"/>
      <c r="T215" s="243"/>
      <c r="U215" s="173" t="s">
        <v>565</v>
      </c>
      <c r="V215" s="191"/>
      <c r="W215" s="191"/>
      <c r="X215" s="164" t="s">
        <v>689</v>
      </c>
      <c r="Y215" s="192">
        <v>12</v>
      </c>
      <c r="Z215" s="183"/>
      <c r="AA215" s="214"/>
      <c r="AB215" s="216"/>
      <c r="AC215" s="161"/>
      <c r="AD215" s="243"/>
      <c r="AE215" s="228"/>
      <c r="AF215" s="155"/>
      <c r="AG215" s="153"/>
      <c r="AH215" s="153"/>
      <c r="AI215" s="153"/>
      <c r="AJ215" s="153"/>
    </row>
    <row r="216" spans="1:36" s="19" customFormat="1" ht="27.75" customHeight="1">
      <c r="A216" s="230"/>
      <c r="B216" s="235"/>
      <c r="C216" s="238"/>
      <c r="D216" s="238"/>
      <c r="E216" s="238"/>
      <c r="F216" s="238"/>
      <c r="G216" s="238"/>
      <c r="H216" s="243"/>
      <c r="I216" s="247"/>
      <c r="J216" s="243"/>
      <c r="K216" s="243"/>
      <c r="L216" s="243"/>
      <c r="M216" s="247"/>
      <c r="N216" s="243"/>
      <c r="O216" s="243"/>
      <c r="P216" s="243"/>
      <c r="Q216" s="243"/>
      <c r="R216" s="243"/>
      <c r="S216" s="243"/>
      <c r="T216" s="243"/>
      <c r="U216" s="173" t="s">
        <v>436</v>
      </c>
      <c r="V216" s="191"/>
      <c r="W216" s="191"/>
      <c r="X216" s="164" t="s">
        <v>3</v>
      </c>
      <c r="Y216" s="192">
        <v>2</v>
      </c>
      <c r="Z216" s="183"/>
      <c r="AA216" s="214"/>
      <c r="AB216" s="216"/>
      <c r="AC216" s="161"/>
      <c r="AD216" s="243"/>
      <c r="AE216" s="228"/>
      <c r="AF216" s="155"/>
      <c r="AG216" s="153"/>
      <c r="AH216" s="153"/>
      <c r="AI216" s="153"/>
      <c r="AJ216" s="153"/>
    </row>
    <row r="217" spans="1:36" s="19" customFormat="1" ht="27.75" customHeight="1">
      <c r="A217" s="230"/>
      <c r="B217" s="235"/>
      <c r="C217" s="238"/>
      <c r="D217" s="238"/>
      <c r="E217" s="238"/>
      <c r="F217" s="238"/>
      <c r="G217" s="238"/>
      <c r="H217" s="243"/>
      <c r="I217" s="247"/>
      <c r="J217" s="243"/>
      <c r="K217" s="243"/>
      <c r="L217" s="243"/>
      <c r="M217" s="247"/>
      <c r="N217" s="243"/>
      <c r="O217" s="243"/>
      <c r="P217" s="243"/>
      <c r="Q217" s="243"/>
      <c r="R217" s="243"/>
      <c r="S217" s="243"/>
      <c r="T217" s="243"/>
      <c r="U217" s="179" t="s">
        <v>566</v>
      </c>
      <c r="V217" s="191"/>
      <c r="W217" s="191"/>
      <c r="X217" s="164" t="s">
        <v>689</v>
      </c>
      <c r="Y217" s="192">
        <v>2.5</v>
      </c>
      <c r="Z217" s="183"/>
      <c r="AA217" s="214"/>
      <c r="AB217" s="216"/>
      <c r="AC217" s="161"/>
      <c r="AD217" s="243"/>
      <c r="AE217" s="228"/>
      <c r="AF217" s="155"/>
      <c r="AG217" s="153"/>
      <c r="AH217" s="153"/>
      <c r="AI217" s="153"/>
      <c r="AJ217" s="153"/>
    </row>
    <row r="218" spans="1:36" s="19" customFormat="1" ht="35.25" customHeight="1">
      <c r="A218" s="230"/>
      <c r="B218" s="235"/>
      <c r="C218" s="238"/>
      <c r="D218" s="238"/>
      <c r="E218" s="238"/>
      <c r="F218" s="238"/>
      <c r="G218" s="238"/>
      <c r="H218" s="243"/>
      <c r="I218" s="247"/>
      <c r="J218" s="243"/>
      <c r="K218" s="243"/>
      <c r="L218" s="243"/>
      <c r="M218" s="247"/>
      <c r="N218" s="243"/>
      <c r="O218" s="243"/>
      <c r="P218" s="243"/>
      <c r="Q218" s="243"/>
      <c r="R218" s="243"/>
      <c r="S218" s="243"/>
      <c r="T218" s="243"/>
      <c r="U218" s="173" t="s">
        <v>567</v>
      </c>
      <c r="V218" s="191"/>
      <c r="W218" s="191"/>
      <c r="X218" s="164" t="s">
        <v>0</v>
      </c>
      <c r="Y218" s="192">
        <v>12</v>
      </c>
      <c r="Z218" s="172"/>
      <c r="AA218" s="214"/>
      <c r="AB218" s="216"/>
      <c r="AC218" s="161">
        <f t="shared" ref="AC218:AC220" si="31">Y218*Z218*AB218</f>
        <v>0</v>
      </c>
      <c r="AD218" s="243"/>
      <c r="AE218" s="228"/>
      <c r="AF218" s="155"/>
      <c r="AG218" s="153"/>
      <c r="AH218" s="153"/>
      <c r="AI218" s="153"/>
      <c r="AJ218" s="153"/>
    </row>
    <row r="219" spans="1:36" s="19" customFormat="1" ht="27" customHeight="1">
      <c r="A219" s="230"/>
      <c r="B219" s="235"/>
      <c r="C219" s="184"/>
      <c r="D219" s="184">
        <v>64</v>
      </c>
      <c r="E219" s="184">
        <v>415</v>
      </c>
      <c r="F219" s="184">
        <v>393.6</v>
      </c>
      <c r="G219" s="184" t="s">
        <v>28</v>
      </c>
      <c r="H219" s="172">
        <v>396</v>
      </c>
      <c r="I219" s="201">
        <f>F219-H219</f>
        <v>-2.3999999999999773</v>
      </c>
      <c r="J219" s="243"/>
      <c r="K219" s="243"/>
      <c r="L219" s="243"/>
      <c r="M219" s="247"/>
      <c r="N219" s="243"/>
      <c r="O219" s="243"/>
      <c r="P219" s="243"/>
      <c r="Q219" s="243"/>
      <c r="R219" s="243"/>
      <c r="S219" s="243"/>
      <c r="T219" s="243"/>
      <c r="U219" s="210" t="s">
        <v>446</v>
      </c>
      <c r="V219" s="191"/>
      <c r="W219" s="191"/>
      <c r="X219" s="164" t="s">
        <v>0</v>
      </c>
      <c r="Y219" s="215">
        <v>393</v>
      </c>
      <c r="Z219" s="183">
        <v>180000</v>
      </c>
      <c r="AA219" s="209"/>
      <c r="AB219" s="197">
        <v>1</v>
      </c>
      <c r="AC219" s="161">
        <f t="shared" si="31"/>
        <v>70740000</v>
      </c>
      <c r="AD219" s="161">
        <f>SUM(AC219:AC219)</f>
        <v>70740000</v>
      </c>
      <c r="AE219" s="228"/>
      <c r="AF219" s="155"/>
      <c r="AG219" s="153"/>
      <c r="AH219" s="153"/>
      <c r="AI219" s="153"/>
      <c r="AJ219" s="153"/>
    </row>
    <row r="220" spans="1:36" s="3" customFormat="1" ht="27" customHeight="1">
      <c r="A220" s="230">
        <v>32</v>
      </c>
      <c r="B220" s="235" t="s">
        <v>633</v>
      </c>
      <c r="C220" s="238" t="s">
        <v>39</v>
      </c>
      <c r="D220" s="238">
        <v>64</v>
      </c>
      <c r="E220" s="238">
        <v>423</v>
      </c>
      <c r="F220" s="238">
        <v>529.29999999999995</v>
      </c>
      <c r="G220" s="238" t="s">
        <v>28</v>
      </c>
      <c r="H220" s="238">
        <v>900</v>
      </c>
      <c r="I220" s="238">
        <f>F220+F224-H220</f>
        <v>-17</v>
      </c>
      <c r="J220" s="243">
        <f>H220+H226+H224</f>
        <v>1260</v>
      </c>
      <c r="K220" s="243">
        <v>1260</v>
      </c>
      <c r="L220" s="238"/>
      <c r="M220" s="244">
        <f>J220/K220*100</f>
        <v>100</v>
      </c>
      <c r="N220" s="245">
        <v>12</v>
      </c>
      <c r="O220" s="245">
        <v>5</v>
      </c>
      <c r="P220" s="243">
        <v>80000</v>
      </c>
      <c r="Q220" s="243">
        <f>P220*J220</f>
        <v>100800000</v>
      </c>
      <c r="R220" s="243">
        <f>Q220*3</f>
        <v>302400000</v>
      </c>
      <c r="S220" s="243">
        <f>N220*O220*S6</f>
        <v>30600000</v>
      </c>
      <c r="T220" s="243">
        <f>SUM(Q220:S227)</f>
        <v>433800000</v>
      </c>
      <c r="U220" s="210" t="s">
        <v>446</v>
      </c>
      <c r="V220" s="191"/>
      <c r="W220" s="191"/>
      <c r="X220" s="164" t="s">
        <v>0</v>
      </c>
      <c r="Y220" s="215">
        <v>800</v>
      </c>
      <c r="Z220" s="183">
        <v>180000</v>
      </c>
      <c r="AA220" s="209"/>
      <c r="AB220" s="197">
        <v>1</v>
      </c>
      <c r="AC220" s="161">
        <f t="shared" si="31"/>
        <v>144000000</v>
      </c>
      <c r="AD220" s="243">
        <f>SUM(AC220:AC223)</f>
        <v>148500000</v>
      </c>
      <c r="AE220" s="228">
        <f>AD220+AD224+AD226+T220</f>
        <v>647100000</v>
      </c>
      <c r="AF220" s="155"/>
      <c r="AG220" s="153"/>
      <c r="AH220" s="153"/>
      <c r="AI220" s="153"/>
      <c r="AJ220" s="153"/>
    </row>
    <row r="221" spans="1:36" s="3" customFormat="1" ht="33" customHeight="1">
      <c r="A221" s="230"/>
      <c r="B221" s="235"/>
      <c r="C221" s="238"/>
      <c r="D221" s="238"/>
      <c r="E221" s="238"/>
      <c r="F221" s="238"/>
      <c r="G221" s="238"/>
      <c r="H221" s="238"/>
      <c r="I221" s="238"/>
      <c r="J221" s="243"/>
      <c r="K221" s="243"/>
      <c r="L221" s="238"/>
      <c r="M221" s="244"/>
      <c r="N221" s="245"/>
      <c r="O221" s="245"/>
      <c r="P221" s="243"/>
      <c r="Q221" s="243"/>
      <c r="R221" s="243"/>
      <c r="S221" s="243"/>
      <c r="T221" s="243"/>
      <c r="U221" s="173" t="s">
        <v>498</v>
      </c>
      <c r="V221" s="191">
        <v>25</v>
      </c>
      <c r="W221" s="191">
        <f>(H220-Y220)/25</f>
        <v>4</v>
      </c>
      <c r="X221" s="164" t="s">
        <v>2</v>
      </c>
      <c r="Y221" s="192">
        <v>5</v>
      </c>
      <c r="Z221" s="172"/>
      <c r="AA221" s="214"/>
      <c r="AB221" s="216"/>
      <c r="AC221" s="161"/>
      <c r="AD221" s="243"/>
      <c r="AE221" s="228"/>
      <c r="AF221" s="155"/>
      <c r="AG221" s="153"/>
      <c r="AH221" s="153"/>
      <c r="AI221" s="153"/>
      <c r="AJ221" s="153"/>
    </row>
    <row r="222" spans="1:36" s="3" customFormat="1" ht="21.75" customHeight="1">
      <c r="A222" s="230"/>
      <c r="B222" s="235"/>
      <c r="C222" s="164"/>
      <c r="D222" s="238"/>
      <c r="E222" s="238"/>
      <c r="F222" s="238"/>
      <c r="G222" s="238"/>
      <c r="H222" s="238"/>
      <c r="I222" s="238"/>
      <c r="J222" s="243"/>
      <c r="K222" s="243"/>
      <c r="L222" s="164"/>
      <c r="M222" s="244"/>
      <c r="N222" s="245"/>
      <c r="O222" s="245"/>
      <c r="P222" s="243"/>
      <c r="Q222" s="243"/>
      <c r="R222" s="243"/>
      <c r="S222" s="243"/>
      <c r="T222" s="243"/>
      <c r="U222" s="186" t="s">
        <v>421</v>
      </c>
      <c r="V222" s="191"/>
      <c r="W222" s="191"/>
      <c r="X222" s="164" t="s">
        <v>2</v>
      </c>
      <c r="Y222" s="161">
        <v>4</v>
      </c>
      <c r="Z222" s="183">
        <v>1000000</v>
      </c>
      <c r="AA222" s="208"/>
      <c r="AB222" s="197">
        <v>1</v>
      </c>
      <c r="AC222" s="161">
        <f t="shared" ref="AC222:AC223" si="32">Y222*Z222*AB222</f>
        <v>4000000</v>
      </c>
      <c r="AD222" s="243"/>
      <c r="AE222" s="228"/>
      <c r="AF222" s="155"/>
      <c r="AG222" s="153"/>
      <c r="AH222" s="153"/>
      <c r="AI222" s="153"/>
      <c r="AJ222" s="153"/>
    </row>
    <row r="223" spans="1:36" s="3" customFormat="1" ht="21.75" customHeight="1">
      <c r="A223" s="230"/>
      <c r="B223" s="235"/>
      <c r="C223" s="164"/>
      <c r="D223" s="238"/>
      <c r="E223" s="238"/>
      <c r="F223" s="238"/>
      <c r="G223" s="238"/>
      <c r="H223" s="238"/>
      <c r="I223" s="238"/>
      <c r="J223" s="243"/>
      <c r="K223" s="243"/>
      <c r="L223" s="164"/>
      <c r="M223" s="244"/>
      <c r="N223" s="245"/>
      <c r="O223" s="245"/>
      <c r="P223" s="243"/>
      <c r="Q223" s="243"/>
      <c r="R223" s="243"/>
      <c r="S223" s="243"/>
      <c r="T223" s="243"/>
      <c r="U223" s="186" t="s">
        <v>423</v>
      </c>
      <c r="V223" s="191"/>
      <c r="W223" s="191">
        <f>0.3*W221</f>
        <v>1.2</v>
      </c>
      <c r="X223" s="164" t="s">
        <v>2</v>
      </c>
      <c r="Y223" s="161">
        <v>1</v>
      </c>
      <c r="Z223" s="183">
        <v>1000000</v>
      </c>
      <c r="AA223" s="214"/>
      <c r="AB223" s="197">
        <v>0.5</v>
      </c>
      <c r="AC223" s="161">
        <f t="shared" si="32"/>
        <v>500000</v>
      </c>
      <c r="AD223" s="243"/>
      <c r="AE223" s="228"/>
      <c r="AF223" s="155"/>
      <c r="AG223" s="153"/>
      <c r="AH223" s="153"/>
      <c r="AI223" s="153"/>
      <c r="AJ223" s="153"/>
    </row>
    <row r="224" spans="1:36" s="3" customFormat="1" ht="22.5" customHeight="1">
      <c r="A224" s="230"/>
      <c r="B224" s="235"/>
      <c r="C224" s="190"/>
      <c r="D224" s="238">
        <v>64</v>
      </c>
      <c r="E224" s="238">
        <v>818</v>
      </c>
      <c r="F224" s="238">
        <v>353.7</v>
      </c>
      <c r="G224" s="238" t="s">
        <v>28</v>
      </c>
      <c r="H224" s="238"/>
      <c r="I224" s="238"/>
      <c r="J224" s="243"/>
      <c r="K224" s="243"/>
      <c r="L224" s="164"/>
      <c r="M224" s="244"/>
      <c r="N224" s="245"/>
      <c r="O224" s="245"/>
      <c r="P224" s="243"/>
      <c r="Q224" s="243"/>
      <c r="R224" s="243"/>
      <c r="S224" s="243"/>
      <c r="T224" s="243"/>
      <c r="U224" s="173" t="s">
        <v>499</v>
      </c>
      <c r="V224" s="191"/>
      <c r="W224" s="191"/>
      <c r="X224" s="164" t="s">
        <v>689</v>
      </c>
      <c r="Y224" s="192">
        <v>0.6</v>
      </c>
      <c r="Z224" s="183"/>
      <c r="AA224" s="208"/>
      <c r="AB224" s="197">
        <v>0</v>
      </c>
      <c r="AC224" s="161"/>
      <c r="AD224" s="243">
        <f>SUM(AC224:AC225)</f>
        <v>0</v>
      </c>
      <c r="AE224" s="228"/>
      <c r="AF224" s="155"/>
      <c r="AG224" s="153"/>
      <c r="AH224" s="153"/>
      <c r="AI224" s="153"/>
      <c r="AJ224" s="153"/>
    </row>
    <row r="225" spans="1:36" s="3" customFormat="1" ht="26.25" customHeight="1">
      <c r="A225" s="230"/>
      <c r="B225" s="235"/>
      <c r="C225" s="190"/>
      <c r="D225" s="238"/>
      <c r="E225" s="238"/>
      <c r="F225" s="238"/>
      <c r="G225" s="238"/>
      <c r="H225" s="238"/>
      <c r="I225" s="238"/>
      <c r="J225" s="243"/>
      <c r="K225" s="243"/>
      <c r="L225" s="164"/>
      <c r="M225" s="244"/>
      <c r="N225" s="245"/>
      <c r="O225" s="245"/>
      <c r="P225" s="243"/>
      <c r="Q225" s="243"/>
      <c r="R225" s="243"/>
      <c r="S225" s="243"/>
      <c r="T225" s="243"/>
      <c r="U225" s="173" t="s">
        <v>464</v>
      </c>
      <c r="V225" s="191"/>
      <c r="W225" s="191"/>
      <c r="X225" s="164" t="s">
        <v>3</v>
      </c>
      <c r="Y225" s="161">
        <v>1</v>
      </c>
      <c r="Z225" s="183"/>
      <c r="AA225" s="208"/>
      <c r="AB225" s="197">
        <v>0</v>
      </c>
      <c r="AC225" s="161"/>
      <c r="AD225" s="243"/>
      <c r="AE225" s="228"/>
      <c r="AF225" s="155"/>
      <c r="AG225" s="153"/>
      <c r="AH225" s="153"/>
      <c r="AI225" s="153"/>
      <c r="AJ225" s="153"/>
    </row>
    <row r="226" spans="1:36" s="3" customFormat="1" ht="26.25" customHeight="1">
      <c r="A226" s="230"/>
      <c r="B226" s="235" t="s">
        <v>500</v>
      </c>
      <c r="C226" s="230"/>
      <c r="D226" s="230">
        <v>64</v>
      </c>
      <c r="E226" s="230">
        <v>586</v>
      </c>
      <c r="F226" s="230">
        <v>364.7</v>
      </c>
      <c r="G226" s="230" t="s">
        <v>28</v>
      </c>
      <c r="H226" s="229">
        <v>360</v>
      </c>
      <c r="I226" s="242">
        <f>F226-H226</f>
        <v>4.6999999999999886</v>
      </c>
      <c r="J226" s="243"/>
      <c r="K226" s="243"/>
      <c r="L226" s="242"/>
      <c r="M226" s="244"/>
      <c r="N226" s="245"/>
      <c r="O226" s="245"/>
      <c r="P226" s="243"/>
      <c r="Q226" s="243"/>
      <c r="R226" s="243"/>
      <c r="S226" s="243"/>
      <c r="T226" s="243"/>
      <c r="U226" s="210" t="s">
        <v>446</v>
      </c>
      <c r="V226" s="191"/>
      <c r="W226" s="191"/>
      <c r="X226" s="164" t="s">
        <v>0</v>
      </c>
      <c r="Y226" s="215">
        <v>360</v>
      </c>
      <c r="Z226" s="183">
        <v>180000</v>
      </c>
      <c r="AA226" s="209"/>
      <c r="AB226" s="197">
        <v>1</v>
      </c>
      <c r="AC226" s="161">
        <f>Y226*Z226*AB226</f>
        <v>64800000</v>
      </c>
      <c r="AD226" s="243">
        <f>SUM(AC226:AC227)</f>
        <v>64800000</v>
      </c>
      <c r="AE226" s="228"/>
      <c r="AF226" s="155"/>
      <c r="AG226" s="153"/>
      <c r="AH226" s="153"/>
      <c r="AI226" s="153"/>
      <c r="AJ226" s="153"/>
    </row>
    <row r="227" spans="1:36" s="3" customFormat="1" ht="26.25" customHeight="1">
      <c r="A227" s="230"/>
      <c r="B227" s="235"/>
      <c r="C227" s="230"/>
      <c r="D227" s="230"/>
      <c r="E227" s="230"/>
      <c r="F227" s="230"/>
      <c r="G227" s="230"/>
      <c r="H227" s="229"/>
      <c r="I227" s="242"/>
      <c r="J227" s="243"/>
      <c r="K227" s="243"/>
      <c r="L227" s="242"/>
      <c r="M227" s="244"/>
      <c r="N227" s="245"/>
      <c r="O227" s="245"/>
      <c r="P227" s="243"/>
      <c r="Q227" s="243"/>
      <c r="R227" s="243"/>
      <c r="S227" s="243"/>
      <c r="T227" s="243"/>
      <c r="U227" s="173" t="s">
        <v>501</v>
      </c>
      <c r="V227" s="191"/>
      <c r="W227" s="191"/>
      <c r="X227" s="164" t="s">
        <v>689</v>
      </c>
      <c r="Y227" s="192">
        <v>1</v>
      </c>
      <c r="Z227" s="183"/>
      <c r="AA227" s="208"/>
      <c r="AB227" s="197">
        <v>0</v>
      </c>
      <c r="AC227" s="161"/>
      <c r="AD227" s="243"/>
      <c r="AE227" s="228"/>
      <c r="AF227" s="155"/>
      <c r="AG227" s="153"/>
      <c r="AH227" s="153"/>
      <c r="AI227" s="153"/>
      <c r="AJ227" s="153"/>
    </row>
    <row r="228" spans="1:36" s="19" customFormat="1" ht="21.75" customHeight="1">
      <c r="A228" s="230">
        <v>33</v>
      </c>
      <c r="B228" s="248" t="s">
        <v>502</v>
      </c>
      <c r="C228" s="184"/>
      <c r="D228" s="238">
        <v>64</v>
      </c>
      <c r="E228" s="238">
        <v>428</v>
      </c>
      <c r="F228" s="238">
        <v>211.8</v>
      </c>
      <c r="G228" s="238" t="s">
        <v>28</v>
      </c>
      <c r="H228" s="243">
        <v>216</v>
      </c>
      <c r="I228" s="247">
        <f>F228-H228</f>
        <v>-4.1999999999999886</v>
      </c>
      <c r="J228" s="229">
        <v>216</v>
      </c>
      <c r="K228" s="229">
        <v>720</v>
      </c>
      <c r="L228" s="184"/>
      <c r="M228" s="246">
        <f>J228/K228*100</f>
        <v>30</v>
      </c>
      <c r="N228" s="229">
        <v>6</v>
      </c>
      <c r="O228" s="229">
        <v>4</v>
      </c>
      <c r="P228" s="229">
        <v>80000</v>
      </c>
      <c r="Q228" s="229">
        <f>P228*J228</f>
        <v>17280000</v>
      </c>
      <c r="R228" s="229">
        <f>Q228*3</f>
        <v>51840000</v>
      </c>
      <c r="S228" s="229">
        <f>N228*O228*S6</f>
        <v>12240000</v>
      </c>
      <c r="T228" s="229">
        <f>SUM(Q228:S232)</f>
        <v>81360000</v>
      </c>
      <c r="U228" s="210" t="s">
        <v>446</v>
      </c>
      <c r="V228" s="191"/>
      <c r="W228" s="191"/>
      <c r="X228" s="164" t="s">
        <v>0</v>
      </c>
      <c r="Y228" s="215">
        <v>200</v>
      </c>
      <c r="Z228" s="183">
        <v>180000</v>
      </c>
      <c r="AA228" s="209"/>
      <c r="AB228" s="197">
        <v>1</v>
      </c>
      <c r="AC228" s="161">
        <f>Y228*Z228*AB228</f>
        <v>36000000</v>
      </c>
      <c r="AD228" s="243">
        <f>SUM(AC228:AC232)</f>
        <v>37000000</v>
      </c>
      <c r="AE228" s="228">
        <f>T228+AD228</f>
        <v>118360000</v>
      </c>
      <c r="AF228" s="155"/>
      <c r="AG228" s="153"/>
      <c r="AH228" s="153"/>
      <c r="AI228" s="153"/>
      <c r="AJ228" s="153"/>
    </row>
    <row r="229" spans="1:36" s="19" customFormat="1" ht="37.5" customHeight="1">
      <c r="A229" s="230"/>
      <c r="B229" s="248"/>
      <c r="C229" s="184"/>
      <c r="D229" s="238"/>
      <c r="E229" s="238"/>
      <c r="F229" s="238"/>
      <c r="G229" s="238"/>
      <c r="H229" s="243"/>
      <c r="I229" s="247"/>
      <c r="J229" s="229"/>
      <c r="K229" s="229"/>
      <c r="L229" s="184"/>
      <c r="M229" s="246"/>
      <c r="N229" s="229"/>
      <c r="O229" s="229"/>
      <c r="P229" s="229"/>
      <c r="Q229" s="229"/>
      <c r="R229" s="229"/>
      <c r="S229" s="229"/>
      <c r="T229" s="229"/>
      <c r="U229" s="173" t="s">
        <v>498</v>
      </c>
      <c r="V229" s="191">
        <v>25</v>
      </c>
      <c r="W229" s="191">
        <f>(H228-Y228)/25</f>
        <v>0.64</v>
      </c>
      <c r="X229" s="164" t="s">
        <v>2</v>
      </c>
      <c r="Y229" s="192">
        <v>2</v>
      </c>
      <c r="Z229" s="172"/>
      <c r="AA229" s="214"/>
      <c r="AB229" s="216"/>
      <c r="AC229" s="161"/>
      <c r="AD229" s="243"/>
      <c r="AE229" s="228"/>
      <c r="AF229" s="155"/>
      <c r="AG229" s="153"/>
      <c r="AH229" s="153"/>
      <c r="AI229" s="153"/>
      <c r="AJ229" s="153"/>
    </row>
    <row r="230" spans="1:36" s="19" customFormat="1" ht="21.75" customHeight="1">
      <c r="A230" s="230"/>
      <c r="B230" s="248"/>
      <c r="C230" s="184"/>
      <c r="D230" s="238"/>
      <c r="E230" s="238"/>
      <c r="F230" s="238"/>
      <c r="G230" s="238"/>
      <c r="H230" s="243"/>
      <c r="I230" s="247"/>
      <c r="J230" s="229"/>
      <c r="K230" s="229"/>
      <c r="L230" s="184"/>
      <c r="M230" s="246"/>
      <c r="N230" s="229"/>
      <c r="O230" s="229"/>
      <c r="P230" s="229"/>
      <c r="Q230" s="229"/>
      <c r="R230" s="229"/>
      <c r="S230" s="229"/>
      <c r="T230" s="229"/>
      <c r="U230" s="186" t="s">
        <v>421</v>
      </c>
      <c r="V230" s="191"/>
      <c r="W230" s="191"/>
      <c r="X230" s="164" t="s">
        <v>2</v>
      </c>
      <c r="Y230" s="161">
        <v>1</v>
      </c>
      <c r="Z230" s="183">
        <v>1000000</v>
      </c>
      <c r="AA230" s="208"/>
      <c r="AB230" s="197">
        <v>1</v>
      </c>
      <c r="AC230" s="161">
        <f t="shared" ref="AC230:AC231" si="33">Y230*Z230*AB230</f>
        <v>1000000</v>
      </c>
      <c r="AD230" s="243"/>
      <c r="AE230" s="228"/>
      <c r="AF230" s="155"/>
      <c r="AG230" s="153"/>
      <c r="AH230" s="153"/>
      <c r="AI230" s="153"/>
      <c r="AJ230" s="153"/>
    </row>
    <row r="231" spans="1:36" s="19" customFormat="1" ht="21.75" customHeight="1">
      <c r="A231" s="230"/>
      <c r="B231" s="248"/>
      <c r="C231" s="184"/>
      <c r="D231" s="238"/>
      <c r="E231" s="238"/>
      <c r="F231" s="238"/>
      <c r="G231" s="238"/>
      <c r="H231" s="243"/>
      <c r="I231" s="247"/>
      <c r="J231" s="229"/>
      <c r="K231" s="229"/>
      <c r="L231" s="184"/>
      <c r="M231" s="246"/>
      <c r="N231" s="229"/>
      <c r="O231" s="229"/>
      <c r="P231" s="229"/>
      <c r="Q231" s="229"/>
      <c r="R231" s="229"/>
      <c r="S231" s="229"/>
      <c r="T231" s="229"/>
      <c r="U231" s="186" t="s">
        <v>424</v>
      </c>
      <c r="V231" s="191"/>
      <c r="W231" s="191">
        <f>0.3*W229</f>
        <v>0.192</v>
      </c>
      <c r="X231" s="164" t="s">
        <v>2</v>
      </c>
      <c r="Y231" s="161">
        <v>1</v>
      </c>
      <c r="Z231" s="183">
        <v>1000000</v>
      </c>
      <c r="AA231" s="214"/>
      <c r="AB231" s="197">
        <v>0</v>
      </c>
      <c r="AC231" s="161">
        <f t="shared" si="33"/>
        <v>0</v>
      </c>
      <c r="AD231" s="243"/>
      <c r="AE231" s="228"/>
      <c r="AF231" s="155"/>
      <c r="AG231" s="153"/>
      <c r="AH231" s="153"/>
      <c r="AI231" s="153"/>
      <c r="AJ231" s="153"/>
    </row>
    <row r="232" spans="1:36" s="19" customFormat="1" ht="21.75" customHeight="1">
      <c r="A232" s="230"/>
      <c r="B232" s="248"/>
      <c r="C232" s="184"/>
      <c r="D232" s="238"/>
      <c r="E232" s="238"/>
      <c r="F232" s="238"/>
      <c r="G232" s="238"/>
      <c r="H232" s="243"/>
      <c r="I232" s="247"/>
      <c r="J232" s="229"/>
      <c r="K232" s="229"/>
      <c r="L232" s="184"/>
      <c r="M232" s="246"/>
      <c r="N232" s="229"/>
      <c r="O232" s="229"/>
      <c r="P232" s="229"/>
      <c r="Q232" s="229"/>
      <c r="R232" s="229"/>
      <c r="S232" s="229"/>
      <c r="T232" s="229"/>
      <c r="U232" s="173" t="s">
        <v>499</v>
      </c>
      <c r="V232" s="191"/>
      <c r="W232" s="191"/>
      <c r="X232" s="164" t="s">
        <v>689</v>
      </c>
      <c r="Y232" s="192">
        <v>0.2</v>
      </c>
      <c r="Z232" s="183"/>
      <c r="AA232" s="208"/>
      <c r="AB232" s="197">
        <v>0</v>
      </c>
      <c r="AC232" s="161"/>
      <c r="AD232" s="243"/>
      <c r="AE232" s="228"/>
      <c r="AF232" s="155"/>
      <c r="AG232" s="153"/>
      <c r="AH232" s="153"/>
      <c r="AI232" s="153"/>
      <c r="AJ232" s="153"/>
    </row>
    <row r="233" spans="1:36" s="3" customFormat="1" ht="24.75" customHeight="1">
      <c r="A233" s="230">
        <v>34</v>
      </c>
      <c r="B233" s="235" t="s">
        <v>503</v>
      </c>
      <c r="C233" s="238" t="s">
        <v>39</v>
      </c>
      <c r="D233" s="238">
        <v>64</v>
      </c>
      <c r="E233" s="238">
        <v>417</v>
      </c>
      <c r="F233" s="238">
        <v>357.9</v>
      </c>
      <c r="G233" s="238" t="s">
        <v>28</v>
      </c>
      <c r="H233" s="243">
        <v>360</v>
      </c>
      <c r="I233" s="247">
        <f>F233-H233</f>
        <v>-2.1000000000000227</v>
      </c>
      <c r="J233" s="243">
        <f>H233+H235</f>
        <v>1080</v>
      </c>
      <c r="K233" s="243">
        <v>1440</v>
      </c>
      <c r="L233" s="243"/>
      <c r="M233" s="247">
        <f>J233/K233*100</f>
        <v>75</v>
      </c>
      <c r="N233" s="243">
        <v>12</v>
      </c>
      <c r="O233" s="243">
        <v>3</v>
      </c>
      <c r="P233" s="243">
        <v>80000</v>
      </c>
      <c r="Q233" s="243">
        <f>P233*J233</f>
        <v>86400000</v>
      </c>
      <c r="R233" s="243">
        <f>Q233*3</f>
        <v>259200000</v>
      </c>
      <c r="S233" s="243">
        <f>N233*O233*S6</f>
        <v>18360000</v>
      </c>
      <c r="T233" s="243">
        <f>SUM(Q233:S242)</f>
        <v>363960000</v>
      </c>
      <c r="U233" s="210" t="s">
        <v>446</v>
      </c>
      <c r="V233" s="191"/>
      <c r="W233" s="191"/>
      <c r="X233" s="164" t="s">
        <v>0</v>
      </c>
      <c r="Y233" s="215">
        <v>360</v>
      </c>
      <c r="Z233" s="183">
        <v>180000</v>
      </c>
      <c r="AA233" s="209"/>
      <c r="AB233" s="197">
        <v>1</v>
      </c>
      <c r="AC233" s="161">
        <f>Y233*Z233*AB233</f>
        <v>64800000</v>
      </c>
      <c r="AD233" s="243">
        <f>SUM(AC233:AC234)</f>
        <v>64800000</v>
      </c>
      <c r="AE233" s="228">
        <f>T233+AD233+AD235</f>
        <v>552060000</v>
      </c>
      <c r="AF233" s="155"/>
      <c r="AG233" s="153"/>
      <c r="AH233" s="153"/>
      <c r="AI233" s="153"/>
      <c r="AJ233" s="153"/>
    </row>
    <row r="234" spans="1:36" s="3" customFormat="1" ht="24.75" customHeight="1">
      <c r="A234" s="230"/>
      <c r="B234" s="235"/>
      <c r="C234" s="238"/>
      <c r="D234" s="238"/>
      <c r="E234" s="238"/>
      <c r="F234" s="238"/>
      <c r="G234" s="238"/>
      <c r="H234" s="243"/>
      <c r="I234" s="247"/>
      <c r="J234" s="243"/>
      <c r="K234" s="243"/>
      <c r="L234" s="243"/>
      <c r="M234" s="247"/>
      <c r="N234" s="243"/>
      <c r="O234" s="243"/>
      <c r="P234" s="243"/>
      <c r="Q234" s="243"/>
      <c r="R234" s="243"/>
      <c r="S234" s="243"/>
      <c r="T234" s="243"/>
      <c r="U234" s="173" t="s">
        <v>504</v>
      </c>
      <c r="V234" s="191"/>
      <c r="W234" s="191"/>
      <c r="X234" s="164" t="s">
        <v>399</v>
      </c>
      <c r="Y234" s="192">
        <v>1</v>
      </c>
      <c r="Z234" s="172"/>
      <c r="AA234" s="214"/>
      <c r="AB234" s="216">
        <v>0</v>
      </c>
      <c r="AC234" s="161">
        <f t="shared" ref="AC234:AC235" si="34">Y234*Z234*AB234</f>
        <v>0</v>
      </c>
      <c r="AD234" s="243"/>
      <c r="AE234" s="228"/>
      <c r="AF234" s="155"/>
      <c r="AG234" s="153"/>
      <c r="AH234" s="153"/>
      <c r="AI234" s="153"/>
      <c r="AJ234" s="153"/>
    </row>
    <row r="235" spans="1:36" s="3" customFormat="1" ht="24.75" customHeight="1">
      <c r="A235" s="230"/>
      <c r="B235" s="235"/>
      <c r="C235" s="230"/>
      <c r="D235" s="230">
        <v>64</v>
      </c>
      <c r="E235" s="230">
        <v>442</v>
      </c>
      <c r="F235" s="230">
        <v>744.4</v>
      </c>
      <c r="G235" s="230" t="s">
        <v>28</v>
      </c>
      <c r="H235" s="229">
        <v>720</v>
      </c>
      <c r="I235" s="242">
        <f>F235-H235</f>
        <v>24.399999999999977</v>
      </c>
      <c r="J235" s="243"/>
      <c r="K235" s="243"/>
      <c r="L235" s="243"/>
      <c r="M235" s="247"/>
      <c r="N235" s="243"/>
      <c r="O235" s="243"/>
      <c r="P235" s="243"/>
      <c r="Q235" s="243"/>
      <c r="R235" s="243"/>
      <c r="S235" s="243"/>
      <c r="T235" s="243"/>
      <c r="U235" s="210" t="s">
        <v>446</v>
      </c>
      <c r="V235" s="191"/>
      <c r="W235" s="191"/>
      <c r="X235" s="164" t="s">
        <v>0</v>
      </c>
      <c r="Y235" s="215">
        <v>360</v>
      </c>
      <c r="Z235" s="183">
        <v>180000</v>
      </c>
      <c r="AA235" s="209"/>
      <c r="AB235" s="197">
        <v>1</v>
      </c>
      <c r="AC235" s="161">
        <f t="shared" si="34"/>
        <v>64800000</v>
      </c>
      <c r="AD235" s="243">
        <f>SUM(AC235:AC242)</f>
        <v>123300000</v>
      </c>
      <c r="AE235" s="228"/>
      <c r="AF235" s="155"/>
      <c r="AG235" s="153"/>
      <c r="AH235" s="153"/>
      <c r="AI235" s="153"/>
      <c r="AJ235" s="153"/>
    </row>
    <row r="236" spans="1:36" s="3" customFormat="1" ht="38.25" customHeight="1">
      <c r="A236" s="230"/>
      <c r="B236" s="235"/>
      <c r="C236" s="230"/>
      <c r="D236" s="230"/>
      <c r="E236" s="230"/>
      <c r="F236" s="230"/>
      <c r="G236" s="230"/>
      <c r="H236" s="229"/>
      <c r="I236" s="242"/>
      <c r="J236" s="243"/>
      <c r="K236" s="243"/>
      <c r="L236" s="243"/>
      <c r="M236" s="247"/>
      <c r="N236" s="243"/>
      <c r="O236" s="243"/>
      <c r="P236" s="243"/>
      <c r="Q236" s="243"/>
      <c r="R236" s="243"/>
      <c r="S236" s="243"/>
      <c r="T236" s="243"/>
      <c r="U236" s="182" t="s">
        <v>495</v>
      </c>
      <c r="V236" s="191">
        <v>25</v>
      </c>
      <c r="W236" s="191">
        <f>(H235-Y235-Y239)/25</f>
        <v>11.52</v>
      </c>
      <c r="X236" s="164" t="s">
        <v>2</v>
      </c>
      <c r="Y236" s="161">
        <v>14</v>
      </c>
      <c r="Z236" s="183"/>
      <c r="AA236" s="214"/>
      <c r="AB236" s="216"/>
      <c r="AC236" s="161"/>
      <c r="AD236" s="243"/>
      <c r="AE236" s="228"/>
      <c r="AF236" s="155"/>
      <c r="AG236" s="153"/>
      <c r="AH236" s="153"/>
      <c r="AI236" s="153"/>
      <c r="AJ236" s="153"/>
    </row>
    <row r="237" spans="1:36" s="3" customFormat="1" ht="21.75" customHeight="1">
      <c r="A237" s="230"/>
      <c r="B237" s="235"/>
      <c r="C237" s="230"/>
      <c r="D237" s="230"/>
      <c r="E237" s="230"/>
      <c r="F237" s="230"/>
      <c r="G237" s="230"/>
      <c r="H237" s="229"/>
      <c r="I237" s="242"/>
      <c r="J237" s="243"/>
      <c r="K237" s="243"/>
      <c r="L237" s="243"/>
      <c r="M237" s="247"/>
      <c r="N237" s="243"/>
      <c r="O237" s="243"/>
      <c r="P237" s="243"/>
      <c r="Q237" s="243"/>
      <c r="R237" s="243"/>
      <c r="S237" s="243"/>
      <c r="T237" s="243"/>
      <c r="U237" s="186" t="s">
        <v>421</v>
      </c>
      <c r="V237" s="191"/>
      <c r="W237" s="191"/>
      <c r="X237" s="164" t="s">
        <v>2</v>
      </c>
      <c r="Y237" s="161">
        <v>12</v>
      </c>
      <c r="Z237" s="183">
        <v>4500000</v>
      </c>
      <c r="AA237" s="214"/>
      <c r="AB237" s="216">
        <v>1</v>
      </c>
      <c r="AC237" s="161">
        <f>Y237*Z237*AB237</f>
        <v>54000000</v>
      </c>
      <c r="AD237" s="243"/>
      <c r="AE237" s="228"/>
      <c r="AF237" s="155"/>
      <c r="AG237" s="153"/>
      <c r="AH237" s="153"/>
      <c r="AI237" s="153"/>
      <c r="AJ237" s="153"/>
    </row>
    <row r="238" spans="1:36" s="3" customFormat="1" ht="21.75" customHeight="1">
      <c r="A238" s="230"/>
      <c r="B238" s="235"/>
      <c r="C238" s="230"/>
      <c r="D238" s="230"/>
      <c r="E238" s="230"/>
      <c r="F238" s="230"/>
      <c r="G238" s="230"/>
      <c r="H238" s="229"/>
      <c r="I238" s="242"/>
      <c r="J238" s="243"/>
      <c r="K238" s="243"/>
      <c r="L238" s="243"/>
      <c r="M238" s="247"/>
      <c r="N238" s="243"/>
      <c r="O238" s="243"/>
      <c r="P238" s="243"/>
      <c r="Q238" s="243"/>
      <c r="R238" s="243"/>
      <c r="S238" s="243"/>
      <c r="T238" s="243"/>
      <c r="U238" s="186" t="s">
        <v>423</v>
      </c>
      <c r="V238" s="191"/>
      <c r="W238" s="191">
        <f>0.3*W236</f>
        <v>3.456</v>
      </c>
      <c r="X238" s="164" t="s">
        <v>2</v>
      </c>
      <c r="Y238" s="161">
        <v>2</v>
      </c>
      <c r="Z238" s="183">
        <v>4500000</v>
      </c>
      <c r="AA238" s="214"/>
      <c r="AB238" s="216">
        <v>0.5</v>
      </c>
      <c r="AC238" s="161">
        <f t="shared" ref="AC238:AC242" si="35">Y238*Z238*AB238</f>
        <v>4500000</v>
      </c>
      <c r="AD238" s="243"/>
      <c r="AE238" s="228"/>
      <c r="AF238" s="155"/>
      <c r="AG238" s="153"/>
      <c r="AH238" s="153"/>
      <c r="AI238" s="153"/>
      <c r="AJ238" s="153"/>
    </row>
    <row r="239" spans="1:36" s="3" customFormat="1" ht="21.75" customHeight="1">
      <c r="A239" s="230"/>
      <c r="B239" s="235"/>
      <c r="C239" s="230"/>
      <c r="D239" s="230"/>
      <c r="E239" s="230"/>
      <c r="F239" s="230"/>
      <c r="G239" s="230"/>
      <c r="H239" s="229"/>
      <c r="I239" s="242"/>
      <c r="J239" s="243"/>
      <c r="K239" s="243"/>
      <c r="L239" s="243"/>
      <c r="M239" s="247"/>
      <c r="N239" s="243"/>
      <c r="O239" s="243"/>
      <c r="P239" s="243"/>
      <c r="Q239" s="243"/>
      <c r="R239" s="243"/>
      <c r="S239" s="243"/>
      <c r="T239" s="243"/>
      <c r="U239" s="182" t="s">
        <v>505</v>
      </c>
      <c r="V239" s="191"/>
      <c r="W239" s="191"/>
      <c r="X239" s="164" t="s">
        <v>6</v>
      </c>
      <c r="Y239" s="161">
        <v>72</v>
      </c>
      <c r="Z239" s="183"/>
      <c r="AA239" s="214"/>
      <c r="AB239" s="216">
        <v>0</v>
      </c>
      <c r="AC239" s="161">
        <f t="shared" si="35"/>
        <v>0</v>
      </c>
      <c r="AD239" s="243"/>
      <c r="AE239" s="228"/>
      <c r="AF239" s="155"/>
      <c r="AG239" s="153"/>
      <c r="AH239" s="153"/>
      <c r="AI239" s="153"/>
      <c r="AJ239" s="153"/>
    </row>
    <row r="240" spans="1:36" s="3" customFormat="1" ht="54.75" customHeight="1">
      <c r="A240" s="230"/>
      <c r="B240" s="235"/>
      <c r="C240" s="230"/>
      <c r="D240" s="230"/>
      <c r="E240" s="230"/>
      <c r="F240" s="230"/>
      <c r="G240" s="230"/>
      <c r="H240" s="229"/>
      <c r="I240" s="242"/>
      <c r="J240" s="243"/>
      <c r="K240" s="243"/>
      <c r="L240" s="243"/>
      <c r="M240" s="247"/>
      <c r="N240" s="243"/>
      <c r="O240" s="243"/>
      <c r="P240" s="243"/>
      <c r="Q240" s="243"/>
      <c r="R240" s="243"/>
      <c r="S240" s="243"/>
      <c r="T240" s="243"/>
      <c r="U240" s="173" t="s">
        <v>506</v>
      </c>
      <c r="V240" s="191"/>
      <c r="W240" s="191"/>
      <c r="X240" s="164" t="s">
        <v>6</v>
      </c>
      <c r="Y240" s="192">
        <v>91</v>
      </c>
      <c r="Z240" s="172"/>
      <c r="AA240" s="214"/>
      <c r="AB240" s="216">
        <v>0</v>
      </c>
      <c r="AC240" s="161">
        <f t="shared" si="35"/>
        <v>0</v>
      </c>
      <c r="AD240" s="243"/>
      <c r="AE240" s="228"/>
      <c r="AF240" s="155"/>
      <c r="AG240" s="153"/>
      <c r="AH240" s="153"/>
      <c r="AI240" s="153"/>
      <c r="AJ240" s="153"/>
    </row>
    <row r="241" spans="1:36" s="3" customFormat="1" ht="27" customHeight="1">
      <c r="A241" s="230"/>
      <c r="B241" s="235"/>
      <c r="C241" s="230"/>
      <c r="D241" s="230"/>
      <c r="E241" s="230"/>
      <c r="F241" s="230"/>
      <c r="G241" s="230"/>
      <c r="H241" s="229"/>
      <c r="I241" s="242"/>
      <c r="J241" s="243"/>
      <c r="K241" s="243"/>
      <c r="L241" s="243"/>
      <c r="M241" s="247"/>
      <c r="N241" s="243"/>
      <c r="O241" s="243"/>
      <c r="P241" s="243"/>
      <c r="Q241" s="243"/>
      <c r="R241" s="243"/>
      <c r="S241" s="243"/>
      <c r="T241" s="243"/>
      <c r="U241" s="173" t="s">
        <v>507</v>
      </c>
      <c r="V241" s="191"/>
      <c r="W241" s="191"/>
      <c r="X241" s="165" t="s">
        <v>8</v>
      </c>
      <c r="Y241" s="192">
        <v>0.2</v>
      </c>
      <c r="Z241" s="172"/>
      <c r="AA241" s="214"/>
      <c r="AB241" s="216">
        <v>0</v>
      </c>
      <c r="AC241" s="161">
        <f t="shared" si="35"/>
        <v>0</v>
      </c>
      <c r="AD241" s="243"/>
      <c r="AE241" s="228"/>
      <c r="AF241" s="155"/>
      <c r="AG241" s="153"/>
      <c r="AH241" s="153"/>
      <c r="AI241" s="153"/>
      <c r="AJ241" s="153"/>
    </row>
    <row r="242" spans="1:36" s="3" customFormat="1" ht="48" customHeight="1">
      <c r="A242" s="230"/>
      <c r="B242" s="235"/>
      <c r="C242" s="230"/>
      <c r="D242" s="230"/>
      <c r="E242" s="230"/>
      <c r="F242" s="230"/>
      <c r="G242" s="230"/>
      <c r="H242" s="229"/>
      <c r="I242" s="242"/>
      <c r="J242" s="243"/>
      <c r="K242" s="243"/>
      <c r="L242" s="243"/>
      <c r="M242" s="247"/>
      <c r="N242" s="243"/>
      <c r="O242" s="243"/>
      <c r="P242" s="243"/>
      <c r="Q242" s="243"/>
      <c r="R242" s="243"/>
      <c r="S242" s="243"/>
      <c r="T242" s="243"/>
      <c r="U242" s="173" t="s">
        <v>508</v>
      </c>
      <c r="V242" s="191"/>
      <c r="W242" s="191"/>
      <c r="X242" s="164" t="s">
        <v>6</v>
      </c>
      <c r="Y242" s="192">
        <v>4</v>
      </c>
      <c r="Z242" s="183"/>
      <c r="AA242" s="214"/>
      <c r="AB242" s="216">
        <v>0</v>
      </c>
      <c r="AC242" s="161">
        <f t="shared" si="35"/>
        <v>0</v>
      </c>
      <c r="AD242" s="243"/>
      <c r="AE242" s="228"/>
      <c r="AF242" s="155"/>
      <c r="AG242" s="153"/>
      <c r="AH242" s="153"/>
      <c r="AI242" s="153"/>
      <c r="AJ242" s="153"/>
    </row>
    <row r="243" spans="1:36" s="18" customFormat="1" ht="24.75" customHeight="1">
      <c r="A243" s="202"/>
      <c r="B243" s="160" t="s">
        <v>616</v>
      </c>
      <c r="C243" s="157"/>
      <c r="D243" s="157"/>
      <c r="E243" s="157"/>
      <c r="F243" s="157"/>
      <c r="G243" s="157"/>
      <c r="H243" s="158"/>
      <c r="I243" s="217"/>
      <c r="J243" s="161"/>
      <c r="K243" s="161"/>
      <c r="L243" s="157"/>
      <c r="M243" s="218"/>
      <c r="N243" s="158"/>
      <c r="O243" s="158"/>
      <c r="P243" s="158"/>
      <c r="Q243" s="158"/>
      <c r="R243" s="158"/>
      <c r="S243" s="158"/>
      <c r="T243" s="158"/>
      <c r="U243" s="162"/>
      <c r="V243" s="159"/>
      <c r="W243" s="159"/>
      <c r="X243" s="157"/>
      <c r="Y243" s="158"/>
      <c r="Z243" s="219"/>
      <c r="AA243" s="220"/>
      <c r="AB243" s="221"/>
      <c r="AC243" s="158"/>
      <c r="AD243" s="158"/>
      <c r="AE243" s="158"/>
      <c r="AF243" s="155"/>
      <c r="AG243" s="154"/>
      <c r="AH243" s="154"/>
      <c r="AI243" s="154"/>
      <c r="AJ243" s="154"/>
    </row>
    <row r="244" spans="1:36" s="26" customFormat="1" ht="32.25" customHeight="1">
      <c r="A244" s="230">
        <v>35</v>
      </c>
      <c r="B244" s="235" t="s">
        <v>402</v>
      </c>
      <c r="C244" s="235" t="s">
        <v>412</v>
      </c>
      <c r="D244" s="238">
        <v>64</v>
      </c>
      <c r="E244" s="238">
        <v>603</v>
      </c>
      <c r="F244" s="238">
        <v>1688.8</v>
      </c>
      <c r="G244" s="238" t="s">
        <v>28</v>
      </c>
      <c r="H244" s="243">
        <v>1800</v>
      </c>
      <c r="I244" s="247">
        <f>F244-H244</f>
        <v>-111.20000000000005</v>
      </c>
      <c r="J244" s="243">
        <v>1800</v>
      </c>
      <c r="K244" s="243">
        <v>1800</v>
      </c>
      <c r="L244" s="243"/>
      <c r="M244" s="244">
        <f>J244/K244*100</f>
        <v>100</v>
      </c>
      <c r="N244" s="243">
        <v>12</v>
      </c>
      <c r="O244" s="243">
        <v>9</v>
      </c>
      <c r="P244" s="243">
        <v>80000</v>
      </c>
      <c r="Q244" s="243">
        <f>P244*J244</f>
        <v>144000000</v>
      </c>
      <c r="R244" s="243">
        <f>Q244*3</f>
        <v>432000000</v>
      </c>
      <c r="S244" s="243">
        <f>N244*O244*S6</f>
        <v>55080000</v>
      </c>
      <c r="T244" s="243">
        <f>SUM(Q244:S252)</f>
        <v>631080000</v>
      </c>
      <c r="U244" s="182" t="s">
        <v>641</v>
      </c>
      <c r="V244" s="191">
        <v>25</v>
      </c>
      <c r="W244" s="191">
        <f>H244/25</f>
        <v>72</v>
      </c>
      <c r="X244" s="164" t="s">
        <v>2</v>
      </c>
      <c r="Y244" s="161">
        <v>9</v>
      </c>
      <c r="Z244" s="183"/>
      <c r="AA244" s="209"/>
      <c r="AB244" s="197"/>
      <c r="AC244" s="161"/>
      <c r="AD244" s="243">
        <f>SUM(AC244:AC252)</f>
        <v>142650000</v>
      </c>
      <c r="AE244" s="228">
        <f>T244+AD244</f>
        <v>773730000</v>
      </c>
      <c r="AF244" s="155" t="s">
        <v>452</v>
      </c>
      <c r="AG244" s="213"/>
      <c r="AH244" s="214"/>
      <c r="AI244" s="214"/>
      <c r="AJ244" s="214"/>
    </row>
    <row r="245" spans="1:36" s="26" customFormat="1" ht="23.25" customHeight="1">
      <c r="A245" s="230"/>
      <c r="B245" s="235"/>
      <c r="C245" s="235"/>
      <c r="D245" s="238"/>
      <c r="E245" s="238"/>
      <c r="F245" s="238"/>
      <c r="G245" s="238"/>
      <c r="H245" s="243"/>
      <c r="I245" s="247"/>
      <c r="J245" s="243"/>
      <c r="K245" s="243"/>
      <c r="L245" s="243"/>
      <c r="M245" s="244"/>
      <c r="N245" s="243"/>
      <c r="O245" s="243"/>
      <c r="P245" s="243"/>
      <c r="Q245" s="243"/>
      <c r="R245" s="243"/>
      <c r="S245" s="243"/>
      <c r="T245" s="243"/>
      <c r="U245" s="186" t="s">
        <v>421</v>
      </c>
      <c r="V245" s="191"/>
      <c r="W245" s="191"/>
      <c r="X245" s="164" t="s">
        <v>2</v>
      </c>
      <c r="Y245" s="161">
        <v>9</v>
      </c>
      <c r="Z245" s="183">
        <v>3750000</v>
      </c>
      <c r="AA245" s="209"/>
      <c r="AB245" s="197">
        <v>1</v>
      </c>
      <c r="AC245" s="161">
        <f>Y245*Z245*AB245</f>
        <v>33750000</v>
      </c>
      <c r="AD245" s="243"/>
      <c r="AE245" s="228"/>
      <c r="AF245" s="155"/>
      <c r="AG245" s="213"/>
      <c r="AH245" s="214"/>
      <c r="AI245" s="214"/>
      <c r="AJ245" s="214"/>
    </row>
    <row r="246" spans="1:36" s="26" customFormat="1" ht="39" customHeight="1">
      <c r="A246" s="230"/>
      <c r="B246" s="235"/>
      <c r="C246" s="235"/>
      <c r="D246" s="238"/>
      <c r="E246" s="238"/>
      <c r="F246" s="238"/>
      <c r="G246" s="238"/>
      <c r="H246" s="243"/>
      <c r="I246" s="247"/>
      <c r="J246" s="243"/>
      <c r="K246" s="243"/>
      <c r="L246" s="243"/>
      <c r="M246" s="244"/>
      <c r="N246" s="243"/>
      <c r="O246" s="243"/>
      <c r="P246" s="243"/>
      <c r="Q246" s="243"/>
      <c r="R246" s="243"/>
      <c r="S246" s="243"/>
      <c r="T246" s="243"/>
      <c r="U246" s="182" t="s">
        <v>642</v>
      </c>
      <c r="V246" s="191"/>
      <c r="W246" s="191"/>
      <c r="X246" s="164" t="s">
        <v>2</v>
      </c>
      <c r="Y246" s="161">
        <v>27</v>
      </c>
      <c r="Z246" s="183"/>
      <c r="AA246" s="209"/>
      <c r="AB246" s="197"/>
      <c r="AC246" s="161"/>
      <c r="AD246" s="243"/>
      <c r="AE246" s="228"/>
      <c r="AF246" s="155"/>
      <c r="AG246" s="213"/>
      <c r="AH246" s="214"/>
      <c r="AI246" s="214"/>
      <c r="AJ246" s="214"/>
    </row>
    <row r="247" spans="1:36" s="26" customFormat="1" ht="23.25" customHeight="1">
      <c r="A247" s="230"/>
      <c r="B247" s="235"/>
      <c r="C247" s="235"/>
      <c r="D247" s="238"/>
      <c r="E247" s="238"/>
      <c r="F247" s="238"/>
      <c r="G247" s="238"/>
      <c r="H247" s="243"/>
      <c r="I247" s="247"/>
      <c r="J247" s="243"/>
      <c r="K247" s="243"/>
      <c r="L247" s="243"/>
      <c r="M247" s="244"/>
      <c r="N247" s="243"/>
      <c r="O247" s="243"/>
      <c r="P247" s="243"/>
      <c r="Q247" s="243"/>
      <c r="R247" s="243"/>
      <c r="S247" s="243"/>
      <c r="T247" s="243"/>
      <c r="U247" s="186" t="s">
        <v>421</v>
      </c>
      <c r="V247" s="191"/>
      <c r="W247" s="191"/>
      <c r="X247" s="164" t="s">
        <v>2</v>
      </c>
      <c r="Y247" s="161">
        <v>27</v>
      </c>
      <c r="Z247" s="183">
        <v>2700000</v>
      </c>
      <c r="AA247" s="209"/>
      <c r="AB247" s="197">
        <v>1</v>
      </c>
      <c r="AC247" s="161">
        <f>Y247*Z247*AB247</f>
        <v>72900000</v>
      </c>
      <c r="AD247" s="243"/>
      <c r="AE247" s="228"/>
      <c r="AF247" s="155"/>
      <c r="AG247" s="213"/>
      <c r="AH247" s="214"/>
      <c r="AI247" s="214"/>
      <c r="AJ247" s="214"/>
    </row>
    <row r="248" spans="1:36" s="26" customFormat="1" ht="36" customHeight="1">
      <c r="A248" s="230"/>
      <c r="B248" s="235"/>
      <c r="C248" s="235"/>
      <c r="D248" s="238"/>
      <c r="E248" s="238"/>
      <c r="F248" s="238"/>
      <c r="G248" s="238"/>
      <c r="H248" s="243"/>
      <c r="I248" s="247"/>
      <c r="J248" s="243"/>
      <c r="K248" s="243"/>
      <c r="L248" s="243"/>
      <c r="M248" s="244"/>
      <c r="N248" s="243"/>
      <c r="O248" s="243"/>
      <c r="P248" s="243"/>
      <c r="Q248" s="243"/>
      <c r="R248" s="243"/>
      <c r="S248" s="243"/>
      <c r="T248" s="243"/>
      <c r="U248" s="182" t="s">
        <v>480</v>
      </c>
      <c r="V248" s="191">
        <v>4</v>
      </c>
      <c r="W248" s="191">
        <f>H244/4</f>
        <v>450</v>
      </c>
      <c r="X248" s="164" t="s">
        <v>396</v>
      </c>
      <c r="Y248" s="161">
        <v>300</v>
      </c>
      <c r="Z248" s="183"/>
      <c r="AA248" s="209"/>
      <c r="AB248" s="197"/>
      <c r="AC248" s="161"/>
      <c r="AD248" s="243"/>
      <c r="AE248" s="228"/>
      <c r="AF248" s="155"/>
      <c r="AG248" s="213"/>
      <c r="AH248" s="214"/>
      <c r="AI248" s="214"/>
      <c r="AJ248" s="214"/>
    </row>
    <row r="249" spans="1:36" s="26" customFormat="1" ht="25.5" customHeight="1">
      <c r="A249" s="230"/>
      <c r="B249" s="235"/>
      <c r="C249" s="235"/>
      <c r="D249" s="238"/>
      <c r="E249" s="238"/>
      <c r="F249" s="238"/>
      <c r="G249" s="238"/>
      <c r="H249" s="243"/>
      <c r="I249" s="247"/>
      <c r="J249" s="243"/>
      <c r="K249" s="243"/>
      <c r="L249" s="243"/>
      <c r="M249" s="244"/>
      <c r="N249" s="243"/>
      <c r="O249" s="243"/>
      <c r="P249" s="243"/>
      <c r="Q249" s="243"/>
      <c r="R249" s="243"/>
      <c r="S249" s="243"/>
      <c r="T249" s="243"/>
      <c r="U249" s="186" t="s">
        <v>421</v>
      </c>
      <c r="V249" s="191"/>
      <c r="W249" s="191"/>
      <c r="X249" s="164" t="s">
        <v>2</v>
      </c>
      <c r="Y249" s="161">
        <v>300</v>
      </c>
      <c r="Z249" s="183">
        <v>200000</v>
      </c>
      <c r="AA249" s="209"/>
      <c r="AB249" s="197">
        <v>0.5</v>
      </c>
      <c r="AC249" s="161">
        <f>Y249*Z249*AB249</f>
        <v>30000000</v>
      </c>
      <c r="AD249" s="243"/>
      <c r="AE249" s="228"/>
      <c r="AF249" s="155"/>
      <c r="AG249" s="213"/>
      <c r="AH249" s="214"/>
      <c r="AI249" s="214"/>
      <c r="AJ249" s="214"/>
    </row>
    <row r="250" spans="1:36" s="26" customFormat="1" ht="36.75" customHeight="1">
      <c r="A250" s="230"/>
      <c r="B250" s="235"/>
      <c r="C250" s="235"/>
      <c r="D250" s="238"/>
      <c r="E250" s="238"/>
      <c r="F250" s="238"/>
      <c r="G250" s="238"/>
      <c r="H250" s="243"/>
      <c r="I250" s="247"/>
      <c r="J250" s="243"/>
      <c r="K250" s="243"/>
      <c r="L250" s="243"/>
      <c r="M250" s="244"/>
      <c r="N250" s="243"/>
      <c r="O250" s="243"/>
      <c r="P250" s="243"/>
      <c r="Q250" s="243"/>
      <c r="R250" s="243"/>
      <c r="S250" s="243"/>
      <c r="T250" s="243"/>
      <c r="U250" s="182" t="s">
        <v>481</v>
      </c>
      <c r="V250" s="191"/>
      <c r="W250" s="191"/>
      <c r="X250" s="164" t="s">
        <v>396</v>
      </c>
      <c r="Y250" s="161">
        <v>80</v>
      </c>
      <c r="Z250" s="183"/>
      <c r="AA250" s="209"/>
      <c r="AB250" s="197"/>
      <c r="AC250" s="161"/>
      <c r="AD250" s="243"/>
      <c r="AE250" s="228"/>
      <c r="AF250" s="155"/>
      <c r="AG250" s="213"/>
      <c r="AH250" s="214"/>
      <c r="AI250" s="214"/>
      <c r="AJ250" s="214"/>
    </row>
    <row r="251" spans="1:36" s="26" customFormat="1" ht="23.25" customHeight="1">
      <c r="A251" s="230"/>
      <c r="B251" s="235"/>
      <c r="C251" s="235"/>
      <c r="D251" s="238"/>
      <c r="E251" s="238"/>
      <c r="F251" s="238"/>
      <c r="G251" s="238"/>
      <c r="H251" s="243"/>
      <c r="I251" s="247"/>
      <c r="J251" s="243"/>
      <c r="K251" s="243"/>
      <c r="L251" s="243"/>
      <c r="M251" s="244"/>
      <c r="N251" s="243"/>
      <c r="O251" s="243"/>
      <c r="P251" s="243"/>
      <c r="Q251" s="243"/>
      <c r="R251" s="243"/>
      <c r="S251" s="243"/>
      <c r="T251" s="243"/>
      <c r="U251" s="186" t="s">
        <v>421</v>
      </c>
      <c r="V251" s="191"/>
      <c r="W251" s="191"/>
      <c r="X251" s="164" t="s">
        <v>2</v>
      </c>
      <c r="Y251" s="161">
        <v>80</v>
      </c>
      <c r="Z251" s="183">
        <v>150000</v>
      </c>
      <c r="AA251" s="209"/>
      <c r="AB251" s="197">
        <v>0.5</v>
      </c>
      <c r="AC251" s="161">
        <f>Y251*Z251*AB251</f>
        <v>6000000</v>
      </c>
      <c r="AD251" s="243"/>
      <c r="AE251" s="228"/>
      <c r="AF251" s="155"/>
      <c r="AG251" s="213"/>
      <c r="AH251" s="214"/>
      <c r="AI251" s="214"/>
      <c r="AJ251" s="214"/>
    </row>
    <row r="252" spans="1:36" s="26" customFormat="1" ht="57.75" customHeight="1">
      <c r="A252" s="230"/>
      <c r="B252" s="235"/>
      <c r="C252" s="235"/>
      <c r="D252" s="238"/>
      <c r="E252" s="238"/>
      <c r="F252" s="238"/>
      <c r="G252" s="238"/>
      <c r="H252" s="243"/>
      <c r="I252" s="247"/>
      <c r="J252" s="243"/>
      <c r="K252" s="243"/>
      <c r="L252" s="243"/>
      <c r="M252" s="244"/>
      <c r="N252" s="243"/>
      <c r="O252" s="243"/>
      <c r="P252" s="243"/>
      <c r="Q252" s="243"/>
      <c r="R252" s="243"/>
      <c r="S252" s="243"/>
      <c r="T252" s="243"/>
      <c r="U252" s="190" t="s">
        <v>470</v>
      </c>
      <c r="V252" s="191"/>
      <c r="W252" s="191"/>
      <c r="X252" s="164" t="s">
        <v>0</v>
      </c>
      <c r="Y252" s="192">
        <v>6</v>
      </c>
      <c r="Z252" s="211"/>
      <c r="AA252" s="209"/>
      <c r="AB252" s="164"/>
      <c r="AC252" s="161"/>
      <c r="AD252" s="243"/>
      <c r="AE252" s="228"/>
      <c r="AF252" s="155"/>
      <c r="AG252" s="213"/>
      <c r="AH252" s="214"/>
      <c r="AI252" s="214"/>
      <c r="AJ252" s="214"/>
    </row>
    <row r="253" spans="1:36" s="16" customFormat="1" ht="32.25" customHeight="1">
      <c r="A253" s="230">
        <v>36</v>
      </c>
      <c r="B253" s="248" t="s">
        <v>509</v>
      </c>
      <c r="C253" s="238" t="s">
        <v>44</v>
      </c>
      <c r="D253" s="238">
        <v>64</v>
      </c>
      <c r="E253" s="238">
        <v>478</v>
      </c>
      <c r="F253" s="238">
        <v>202.9</v>
      </c>
      <c r="G253" s="238" t="s">
        <v>28</v>
      </c>
      <c r="H253" s="243">
        <v>180</v>
      </c>
      <c r="I253" s="247">
        <f>F253-H253</f>
        <v>22.900000000000006</v>
      </c>
      <c r="J253" s="243">
        <v>180</v>
      </c>
      <c r="K253" s="243">
        <v>1800</v>
      </c>
      <c r="L253" s="238"/>
      <c r="M253" s="244">
        <f>J253/K253*100</f>
        <v>10</v>
      </c>
      <c r="N253" s="243">
        <v>3</v>
      </c>
      <c r="O253" s="243">
        <v>4</v>
      </c>
      <c r="P253" s="243">
        <v>80000</v>
      </c>
      <c r="Q253" s="243">
        <f>P253*J253</f>
        <v>14400000</v>
      </c>
      <c r="R253" s="243">
        <f>Q253*3</f>
        <v>43200000</v>
      </c>
      <c r="S253" s="243">
        <f>N253*O253*S6</f>
        <v>6120000</v>
      </c>
      <c r="T253" s="243">
        <f>SUM(Q253:S261)</f>
        <v>63720000</v>
      </c>
      <c r="U253" s="182" t="s">
        <v>420</v>
      </c>
      <c r="V253" s="191">
        <v>20</v>
      </c>
      <c r="W253" s="191">
        <f>H253/20</f>
        <v>9</v>
      </c>
      <c r="X253" s="164" t="s">
        <v>2</v>
      </c>
      <c r="Y253" s="161">
        <v>5</v>
      </c>
      <c r="Z253" s="183"/>
      <c r="AA253" s="214"/>
      <c r="AB253" s="216"/>
      <c r="AC253" s="161"/>
      <c r="AD253" s="243">
        <f>SUM(AC253:AC261)</f>
        <v>15555000</v>
      </c>
      <c r="AE253" s="231">
        <f>T253+AD253</f>
        <v>79275000</v>
      </c>
      <c r="AF253" s="155" t="s">
        <v>452</v>
      </c>
      <c r="AG253" s="213"/>
      <c r="AH253" s="214"/>
      <c r="AI253" s="214"/>
      <c r="AJ253" s="214"/>
    </row>
    <row r="254" spans="1:36" s="16" customFormat="1" ht="23.25" customHeight="1">
      <c r="A254" s="230"/>
      <c r="B254" s="248"/>
      <c r="C254" s="238"/>
      <c r="D254" s="238"/>
      <c r="E254" s="238"/>
      <c r="F254" s="238"/>
      <c r="G254" s="238"/>
      <c r="H254" s="243"/>
      <c r="I254" s="247"/>
      <c r="J254" s="243"/>
      <c r="K254" s="243"/>
      <c r="L254" s="238"/>
      <c r="M254" s="244"/>
      <c r="N254" s="243"/>
      <c r="O254" s="243"/>
      <c r="P254" s="243"/>
      <c r="Q254" s="243"/>
      <c r="R254" s="243"/>
      <c r="S254" s="243"/>
      <c r="T254" s="243"/>
      <c r="U254" s="186" t="s">
        <v>421</v>
      </c>
      <c r="V254" s="191"/>
      <c r="W254" s="191"/>
      <c r="X254" s="164" t="s">
        <v>2</v>
      </c>
      <c r="Y254" s="161">
        <v>5</v>
      </c>
      <c r="Z254" s="183">
        <v>2500000</v>
      </c>
      <c r="AA254" s="214"/>
      <c r="AB254" s="216">
        <v>1</v>
      </c>
      <c r="AC254" s="161">
        <f t="shared" ref="AC254" si="36">Y254*Z254*AB254</f>
        <v>12500000</v>
      </c>
      <c r="AD254" s="243"/>
      <c r="AE254" s="231"/>
      <c r="AF254" s="155"/>
      <c r="AG254" s="213"/>
      <c r="AH254" s="214"/>
      <c r="AI254" s="214"/>
      <c r="AJ254" s="214"/>
    </row>
    <row r="255" spans="1:36" s="16" customFormat="1" ht="33.75" customHeight="1">
      <c r="A255" s="230"/>
      <c r="B255" s="248"/>
      <c r="C255" s="238"/>
      <c r="D255" s="238"/>
      <c r="E255" s="238"/>
      <c r="F255" s="238"/>
      <c r="G255" s="238"/>
      <c r="H255" s="243"/>
      <c r="I255" s="247"/>
      <c r="J255" s="243"/>
      <c r="K255" s="243"/>
      <c r="L255" s="238"/>
      <c r="M255" s="244"/>
      <c r="N255" s="243"/>
      <c r="O255" s="243"/>
      <c r="P255" s="243"/>
      <c r="Q255" s="243"/>
      <c r="R255" s="243"/>
      <c r="S255" s="243"/>
      <c r="T255" s="243"/>
      <c r="U255" s="182" t="s">
        <v>647</v>
      </c>
      <c r="V255" s="191">
        <v>25</v>
      </c>
      <c r="W255" s="191">
        <f>H253/25</f>
        <v>7.2</v>
      </c>
      <c r="X255" s="164" t="s">
        <v>2</v>
      </c>
      <c r="Y255" s="161">
        <v>3</v>
      </c>
      <c r="Z255" s="183"/>
      <c r="AA255" s="214"/>
      <c r="AB255" s="216"/>
      <c r="AC255" s="161"/>
      <c r="AD255" s="243"/>
      <c r="AE255" s="231"/>
      <c r="AF255" s="155"/>
      <c r="AG255" s="213"/>
      <c r="AH255" s="214"/>
      <c r="AI255" s="214"/>
      <c r="AJ255" s="214"/>
    </row>
    <row r="256" spans="1:36" s="16" customFormat="1" ht="23.25" customHeight="1">
      <c r="A256" s="230"/>
      <c r="B256" s="248"/>
      <c r="C256" s="238"/>
      <c r="D256" s="238"/>
      <c r="E256" s="238"/>
      <c r="F256" s="238"/>
      <c r="G256" s="238"/>
      <c r="H256" s="243"/>
      <c r="I256" s="247"/>
      <c r="J256" s="243"/>
      <c r="K256" s="243"/>
      <c r="L256" s="238"/>
      <c r="M256" s="244"/>
      <c r="N256" s="243"/>
      <c r="O256" s="243"/>
      <c r="P256" s="243"/>
      <c r="Q256" s="243"/>
      <c r="R256" s="243"/>
      <c r="S256" s="243"/>
      <c r="T256" s="243"/>
      <c r="U256" s="186" t="s">
        <v>421</v>
      </c>
      <c r="V256" s="191"/>
      <c r="W256" s="191"/>
      <c r="X256" s="164" t="s">
        <v>2</v>
      </c>
      <c r="Y256" s="161">
        <v>3</v>
      </c>
      <c r="Z256" s="183">
        <v>230000</v>
      </c>
      <c r="AA256" s="214"/>
      <c r="AB256" s="216">
        <v>0.5</v>
      </c>
      <c r="AC256" s="161">
        <f t="shared" ref="AC256" si="37">Y256*Z256*AB256</f>
        <v>345000</v>
      </c>
      <c r="AD256" s="243"/>
      <c r="AE256" s="231"/>
      <c r="AF256" s="155"/>
      <c r="AG256" s="213"/>
      <c r="AH256" s="214"/>
      <c r="AI256" s="214"/>
      <c r="AJ256" s="214"/>
    </row>
    <row r="257" spans="1:37" s="16" customFormat="1" ht="35.25" customHeight="1">
      <c r="A257" s="230"/>
      <c r="B257" s="248"/>
      <c r="C257" s="238"/>
      <c r="D257" s="238"/>
      <c r="E257" s="238"/>
      <c r="F257" s="238"/>
      <c r="G257" s="238"/>
      <c r="H257" s="243"/>
      <c r="I257" s="247"/>
      <c r="J257" s="243"/>
      <c r="K257" s="243"/>
      <c r="L257" s="238"/>
      <c r="M257" s="244"/>
      <c r="N257" s="243"/>
      <c r="O257" s="243"/>
      <c r="P257" s="243"/>
      <c r="Q257" s="243"/>
      <c r="R257" s="243"/>
      <c r="S257" s="243"/>
      <c r="T257" s="243"/>
      <c r="U257" s="182" t="s">
        <v>510</v>
      </c>
      <c r="V257" s="191">
        <v>10</v>
      </c>
      <c r="W257" s="191">
        <f>H253/10</f>
        <v>18</v>
      </c>
      <c r="X257" s="164" t="s">
        <v>2</v>
      </c>
      <c r="Y257" s="161">
        <v>100</v>
      </c>
      <c r="Z257" s="183"/>
      <c r="AA257" s="209"/>
      <c r="AB257" s="197"/>
      <c r="AC257" s="161"/>
      <c r="AD257" s="243"/>
      <c r="AE257" s="231"/>
      <c r="AF257" s="155"/>
      <c r="AG257" s="213"/>
      <c r="AH257" s="214"/>
      <c r="AI257" s="214"/>
      <c r="AJ257" s="214"/>
    </row>
    <row r="258" spans="1:37" s="16" customFormat="1" ht="25.5" customHeight="1">
      <c r="A258" s="230"/>
      <c r="B258" s="248"/>
      <c r="C258" s="238"/>
      <c r="D258" s="238"/>
      <c r="E258" s="238"/>
      <c r="F258" s="238"/>
      <c r="G258" s="238"/>
      <c r="H258" s="243"/>
      <c r="I258" s="247"/>
      <c r="J258" s="243"/>
      <c r="K258" s="243"/>
      <c r="L258" s="238"/>
      <c r="M258" s="244"/>
      <c r="N258" s="243"/>
      <c r="O258" s="243"/>
      <c r="P258" s="243"/>
      <c r="Q258" s="243"/>
      <c r="R258" s="243"/>
      <c r="S258" s="243"/>
      <c r="T258" s="243"/>
      <c r="U258" s="186" t="s">
        <v>421</v>
      </c>
      <c r="V258" s="191"/>
      <c r="W258" s="191"/>
      <c r="X258" s="164" t="s">
        <v>2</v>
      </c>
      <c r="Y258" s="161">
        <v>18</v>
      </c>
      <c r="Z258" s="183">
        <v>190000</v>
      </c>
      <c r="AA258" s="209"/>
      <c r="AB258" s="197">
        <v>0.5</v>
      </c>
      <c r="AC258" s="161">
        <f>Y258*Z258*AB258</f>
        <v>1710000</v>
      </c>
      <c r="AD258" s="243"/>
      <c r="AE258" s="231"/>
      <c r="AF258" s="155"/>
      <c r="AG258" s="213"/>
      <c r="AH258" s="214"/>
      <c r="AI258" s="214"/>
      <c r="AJ258" s="214"/>
    </row>
    <row r="259" spans="1:37" s="16" customFormat="1" ht="25.5" customHeight="1">
      <c r="A259" s="230"/>
      <c r="B259" s="248"/>
      <c r="C259" s="238"/>
      <c r="D259" s="238"/>
      <c r="E259" s="238"/>
      <c r="F259" s="238"/>
      <c r="G259" s="238"/>
      <c r="H259" s="243"/>
      <c r="I259" s="247"/>
      <c r="J259" s="243"/>
      <c r="K259" s="243"/>
      <c r="L259" s="238"/>
      <c r="M259" s="244"/>
      <c r="N259" s="243"/>
      <c r="O259" s="243"/>
      <c r="P259" s="243"/>
      <c r="Q259" s="243"/>
      <c r="R259" s="243"/>
      <c r="S259" s="243"/>
      <c r="T259" s="243"/>
      <c r="U259" s="186" t="s">
        <v>568</v>
      </c>
      <c r="V259" s="191"/>
      <c r="W259" s="191"/>
      <c r="X259" s="164" t="s">
        <v>2</v>
      </c>
      <c r="Y259" s="161">
        <v>82</v>
      </c>
      <c r="Z259" s="183">
        <v>190000</v>
      </c>
      <c r="AA259" s="214"/>
      <c r="AB259" s="216">
        <v>0</v>
      </c>
      <c r="AC259" s="161">
        <f t="shared" ref="AC259" si="38">Y259*Z259*AB259</f>
        <v>0</v>
      </c>
      <c r="AD259" s="243"/>
      <c r="AE259" s="231"/>
      <c r="AF259" s="155"/>
      <c r="AG259" s="213"/>
      <c r="AH259" s="214"/>
      <c r="AI259" s="214"/>
      <c r="AJ259" s="214"/>
    </row>
    <row r="260" spans="1:37" s="16" customFormat="1" ht="35.25" customHeight="1">
      <c r="A260" s="230"/>
      <c r="B260" s="248"/>
      <c r="C260" s="238"/>
      <c r="D260" s="238"/>
      <c r="E260" s="238"/>
      <c r="F260" s="238"/>
      <c r="G260" s="238"/>
      <c r="H260" s="243"/>
      <c r="I260" s="247"/>
      <c r="J260" s="243"/>
      <c r="K260" s="243"/>
      <c r="L260" s="238"/>
      <c r="M260" s="244"/>
      <c r="N260" s="243"/>
      <c r="O260" s="243"/>
      <c r="P260" s="243"/>
      <c r="Q260" s="243"/>
      <c r="R260" s="243"/>
      <c r="S260" s="243"/>
      <c r="T260" s="243"/>
      <c r="U260" s="182" t="s">
        <v>511</v>
      </c>
      <c r="V260" s="191">
        <v>25</v>
      </c>
      <c r="W260" s="191">
        <f>H253/25</f>
        <v>7.2</v>
      </c>
      <c r="X260" s="164" t="s">
        <v>2</v>
      </c>
      <c r="Y260" s="161">
        <v>2</v>
      </c>
      <c r="Z260" s="183"/>
      <c r="AA260" s="209"/>
      <c r="AB260" s="197"/>
      <c r="AC260" s="161"/>
      <c r="AD260" s="243"/>
      <c r="AE260" s="231"/>
      <c r="AF260" s="155"/>
      <c r="AG260" s="213"/>
      <c r="AH260" s="214"/>
      <c r="AI260" s="214"/>
      <c r="AJ260" s="214"/>
    </row>
    <row r="261" spans="1:37" s="16" customFormat="1" ht="23.25" customHeight="1">
      <c r="A261" s="230"/>
      <c r="B261" s="248"/>
      <c r="C261" s="238"/>
      <c r="D261" s="238"/>
      <c r="E261" s="238"/>
      <c r="F261" s="238"/>
      <c r="G261" s="238"/>
      <c r="H261" s="243"/>
      <c r="I261" s="247"/>
      <c r="J261" s="243"/>
      <c r="K261" s="243"/>
      <c r="L261" s="238"/>
      <c r="M261" s="244"/>
      <c r="N261" s="243"/>
      <c r="O261" s="243"/>
      <c r="P261" s="243"/>
      <c r="Q261" s="243"/>
      <c r="R261" s="243"/>
      <c r="S261" s="243"/>
      <c r="T261" s="243"/>
      <c r="U261" s="186" t="s">
        <v>421</v>
      </c>
      <c r="V261" s="191"/>
      <c r="W261" s="191"/>
      <c r="X261" s="164" t="s">
        <v>2</v>
      </c>
      <c r="Y261" s="161">
        <v>2</v>
      </c>
      <c r="Z261" s="183">
        <v>1000000</v>
      </c>
      <c r="AA261" s="209"/>
      <c r="AB261" s="197">
        <v>0.5</v>
      </c>
      <c r="AC261" s="161">
        <f>Y261*Z261*AB261</f>
        <v>1000000</v>
      </c>
      <c r="AD261" s="243"/>
      <c r="AE261" s="231"/>
      <c r="AF261" s="155"/>
      <c r="AG261" s="213"/>
      <c r="AH261" s="214"/>
      <c r="AI261" s="214"/>
      <c r="AJ261" s="214"/>
    </row>
    <row r="262" spans="1:37" s="3" customFormat="1" ht="38.25" customHeight="1">
      <c r="A262" s="230">
        <v>37</v>
      </c>
      <c r="B262" s="248" t="s">
        <v>512</v>
      </c>
      <c r="C262" s="238" t="s">
        <v>44</v>
      </c>
      <c r="D262" s="238">
        <v>64</v>
      </c>
      <c r="E262" s="238">
        <v>479</v>
      </c>
      <c r="F262" s="238">
        <v>207</v>
      </c>
      <c r="G262" s="238" t="s">
        <v>28</v>
      </c>
      <c r="H262" s="243">
        <v>201</v>
      </c>
      <c r="I262" s="247">
        <f>F262-H262</f>
        <v>6</v>
      </c>
      <c r="J262" s="247">
        <v>201</v>
      </c>
      <c r="K262" s="243">
        <v>1440</v>
      </c>
      <c r="L262" s="238"/>
      <c r="M262" s="244">
        <f>J262/K262*100</f>
        <v>13.958333333333334</v>
      </c>
      <c r="N262" s="243">
        <v>3</v>
      </c>
      <c r="O262" s="243">
        <v>2</v>
      </c>
      <c r="P262" s="243">
        <v>80000</v>
      </c>
      <c r="Q262" s="243">
        <f>P262*J262</f>
        <v>16080000</v>
      </c>
      <c r="R262" s="243">
        <f>Q262*3</f>
        <v>48240000</v>
      </c>
      <c r="S262" s="243">
        <f>N262*O262*S6</f>
        <v>3060000</v>
      </c>
      <c r="T262" s="243">
        <f>SUM(Q262:S269)</f>
        <v>67380000</v>
      </c>
      <c r="U262" s="182" t="s">
        <v>420</v>
      </c>
      <c r="V262" s="191">
        <v>20</v>
      </c>
      <c r="W262" s="191">
        <f>H262/20</f>
        <v>10.050000000000001</v>
      </c>
      <c r="X262" s="164" t="s">
        <v>2</v>
      </c>
      <c r="Y262" s="161">
        <v>10</v>
      </c>
      <c r="Z262" s="183"/>
      <c r="AA262" s="214"/>
      <c r="AB262" s="216"/>
      <c r="AC262" s="161"/>
      <c r="AD262" s="243">
        <f>SUM(AC262:AC269)</f>
        <v>27700000</v>
      </c>
      <c r="AE262" s="231">
        <f>T262+AD262</f>
        <v>95080000</v>
      </c>
      <c r="AF262" s="155" t="s">
        <v>513</v>
      </c>
      <c r="AG262" s="153"/>
      <c r="AH262" s="153"/>
      <c r="AI262" s="153"/>
      <c r="AJ262" s="153"/>
    </row>
    <row r="263" spans="1:37" s="3" customFormat="1" ht="24" customHeight="1">
      <c r="A263" s="230"/>
      <c r="B263" s="248"/>
      <c r="C263" s="238"/>
      <c r="D263" s="238"/>
      <c r="E263" s="238"/>
      <c r="F263" s="238"/>
      <c r="G263" s="238"/>
      <c r="H263" s="243"/>
      <c r="I263" s="247"/>
      <c r="J263" s="247"/>
      <c r="K263" s="243"/>
      <c r="L263" s="238"/>
      <c r="M263" s="244"/>
      <c r="N263" s="243"/>
      <c r="O263" s="243"/>
      <c r="P263" s="243"/>
      <c r="Q263" s="243"/>
      <c r="R263" s="243"/>
      <c r="S263" s="243"/>
      <c r="T263" s="243"/>
      <c r="U263" s="186" t="s">
        <v>421</v>
      </c>
      <c r="V263" s="191"/>
      <c r="W263" s="191"/>
      <c r="X263" s="164" t="s">
        <v>2</v>
      </c>
      <c r="Y263" s="161">
        <v>10</v>
      </c>
      <c r="Z263" s="183">
        <v>2500000</v>
      </c>
      <c r="AA263" s="214"/>
      <c r="AB263" s="216">
        <v>1</v>
      </c>
      <c r="AC263" s="161">
        <f t="shared" ref="AC263:AC265" si="39">Y263*Z263*AB263</f>
        <v>25000000</v>
      </c>
      <c r="AD263" s="243"/>
      <c r="AE263" s="231"/>
      <c r="AF263" s="155"/>
      <c r="AG263" s="155"/>
      <c r="AH263" s="153"/>
      <c r="AI263" s="153"/>
      <c r="AJ263" s="153"/>
    </row>
    <row r="264" spans="1:37" s="3" customFormat="1" ht="33" customHeight="1">
      <c r="A264" s="230"/>
      <c r="B264" s="248"/>
      <c r="C264" s="238"/>
      <c r="D264" s="238"/>
      <c r="E264" s="238"/>
      <c r="F264" s="238"/>
      <c r="G264" s="238"/>
      <c r="H264" s="243"/>
      <c r="I264" s="247"/>
      <c r="J264" s="247"/>
      <c r="K264" s="243"/>
      <c r="L264" s="238"/>
      <c r="M264" s="244"/>
      <c r="N264" s="243"/>
      <c r="O264" s="243"/>
      <c r="P264" s="243"/>
      <c r="Q264" s="243"/>
      <c r="R264" s="243"/>
      <c r="S264" s="243"/>
      <c r="T264" s="243"/>
      <c r="U264" s="182" t="s">
        <v>514</v>
      </c>
      <c r="V264" s="191">
        <v>25</v>
      </c>
      <c r="W264" s="191">
        <f>H262/25</f>
        <v>8.0399999999999991</v>
      </c>
      <c r="X264" s="164" t="s">
        <v>2</v>
      </c>
      <c r="Y264" s="161">
        <v>2</v>
      </c>
      <c r="Z264" s="183"/>
      <c r="AA264" s="214"/>
      <c r="AB264" s="216"/>
      <c r="AC264" s="161">
        <f t="shared" si="39"/>
        <v>0</v>
      </c>
      <c r="AD264" s="243"/>
      <c r="AE264" s="231"/>
      <c r="AF264" s="155"/>
      <c r="AG264" s="155"/>
      <c r="AH264" s="153"/>
      <c r="AI264" s="153"/>
      <c r="AJ264" s="153"/>
    </row>
    <row r="265" spans="1:37" s="3" customFormat="1" ht="21" customHeight="1">
      <c r="A265" s="230"/>
      <c r="B265" s="248"/>
      <c r="C265" s="238"/>
      <c r="D265" s="238"/>
      <c r="E265" s="238"/>
      <c r="F265" s="238"/>
      <c r="G265" s="238"/>
      <c r="H265" s="243"/>
      <c r="I265" s="247"/>
      <c r="J265" s="247"/>
      <c r="K265" s="243"/>
      <c r="L265" s="238"/>
      <c r="M265" s="244"/>
      <c r="N265" s="243"/>
      <c r="O265" s="243"/>
      <c r="P265" s="243"/>
      <c r="Q265" s="243"/>
      <c r="R265" s="243"/>
      <c r="S265" s="243"/>
      <c r="T265" s="243"/>
      <c r="U265" s="186" t="s">
        <v>421</v>
      </c>
      <c r="V265" s="191"/>
      <c r="W265" s="191"/>
      <c r="X265" s="164" t="s">
        <v>2</v>
      </c>
      <c r="Y265" s="161">
        <v>2</v>
      </c>
      <c r="Z265" s="183">
        <v>4500000</v>
      </c>
      <c r="AA265" s="214"/>
      <c r="AB265" s="216">
        <v>0.3</v>
      </c>
      <c r="AC265" s="161">
        <f t="shared" si="39"/>
        <v>2700000</v>
      </c>
      <c r="AD265" s="243"/>
      <c r="AE265" s="231"/>
      <c r="AF265" s="155"/>
      <c r="AG265" s="153"/>
      <c r="AH265" s="153"/>
      <c r="AI265" s="153"/>
      <c r="AJ265" s="153"/>
    </row>
    <row r="266" spans="1:37" s="3" customFormat="1" ht="40.5" customHeight="1">
      <c r="A266" s="230"/>
      <c r="B266" s="248"/>
      <c r="C266" s="238"/>
      <c r="D266" s="238"/>
      <c r="E266" s="238"/>
      <c r="F266" s="238"/>
      <c r="G266" s="238"/>
      <c r="H266" s="243"/>
      <c r="I266" s="247"/>
      <c r="J266" s="247"/>
      <c r="K266" s="243"/>
      <c r="L266" s="238"/>
      <c r="M266" s="244"/>
      <c r="N266" s="243"/>
      <c r="O266" s="243"/>
      <c r="P266" s="243"/>
      <c r="Q266" s="243"/>
      <c r="R266" s="243"/>
      <c r="S266" s="243"/>
      <c r="T266" s="243"/>
      <c r="U266" s="182" t="s">
        <v>510</v>
      </c>
      <c r="V266" s="191">
        <v>10</v>
      </c>
      <c r="W266" s="191">
        <f>J262/10</f>
        <v>20.100000000000001</v>
      </c>
      <c r="X266" s="164" t="s">
        <v>2</v>
      </c>
      <c r="Y266" s="161">
        <v>100</v>
      </c>
      <c r="Z266" s="183"/>
      <c r="AA266" s="209"/>
      <c r="AB266" s="197"/>
      <c r="AC266" s="161"/>
      <c r="AD266" s="243"/>
      <c r="AE266" s="231"/>
      <c r="AF266" s="155"/>
      <c r="AG266" s="153"/>
      <c r="AH266" s="153"/>
      <c r="AI266" s="153"/>
      <c r="AJ266" s="153"/>
    </row>
    <row r="267" spans="1:37" s="3" customFormat="1" ht="22.5" customHeight="1">
      <c r="A267" s="230"/>
      <c r="B267" s="248"/>
      <c r="C267" s="238"/>
      <c r="D267" s="238"/>
      <c r="E267" s="238"/>
      <c r="F267" s="238"/>
      <c r="G267" s="238"/>
      <c r="H267" s="243"/>
      <c r="I267" s="247"/>
      <c r="J267" s="247"/>
      <c r="K267" s="243"/>
      <c r="L267" s="238"/>
      <c r="M267" s="244"/>
      <c r="N267" s="243"/>
      <c r="O267" s="243"/>
      <c r="P267" s="243"/>
      <c r="Q267" s="243"/>
      <c r="R267" s="243"/>
      <c r="S267" s="243"/>
      <c r="T267" s="243"/>
      <c r="U267" s="186" t="s">
        <v>486</v>
      </c>
      <c r="V267" s="191"/>
      <c r="W267" s="191"/>
      <c r="X267" s="164" t="s">
        <v>2</v>
      </c>
      <c r="Y267" s="161">
        <v>100</v>
      </c>
      <c r="Z267" s="183">
        <v>190000</v>
      </c>
      <c r="AA267" s="214"/>
      <c r="AB267" s="216">
        <v>0</v>
      </c>
      <c r="AC267" s="161">
        <f t="shared" ref="AC267" si="40">Y267*Z267*AB267</f>
        <v>0</v>
      </c>
      <c r="AD267" s="243"/>
      <c r="AE267" s="231"/>
      <c r="AF267" s="155"/>
      <c r="AG267" s="153"/>
      <c r="AH267" s="153"/>
      <c r="AI267" s="153"/>
      <c r="AJ267" s="153"/>
    </row>
    <row r="268" spans="1:37" s="3" customFormat="1" ht="36.75" customHeight="1">
      <c r="A268" s="230"/>
      <c r="B268" s="248"/>
      <c r="C268" s="238"/>
      <c r="D268" s="238"/>
      <c r="E268" s="238"/>
      <c r="F268" s="238"/>
      <c r="G268" s="238"/>
      <c r="H268" s="243"/>
      <c r="I268" s="247"/>
      <c r="J268" s="247"/>
      <c r="K268" s="243"/>
      <c r="L268" s="238"/>
      <c r="M268" s="244"/>
      <c r="N268" s="243"/>
      <c r="O268" s="243"/>
      <c r="P268" s="243"/>
      <c r="Q268" s="243"/>
      <c r="R268" s="243"/>
      <c r="S268" s="243"/>
      <c r="T268" s="243"/>
      <c r="U268" s="182" t="s">
        <v>511</v>
      </c>
      <c r="V268" s="191">
        <v>25</v>
      </c>
      <c r="W268" s="191">
        <f>H262/25</f>
        <v>8.0399999999999991</v>
      </c>
      <c r="X268" s="164" t="s">
        <v>2</v>
      </c>
      <c r="Y268" s="161">
        <v>3</v>
      </c>
      <c r="Z268" s="183"/>
      <c r="AA268" s="209"/>
      <c r="AB268" s="197"/>
      <c r="AC268" s="161"/>
      <c r="AD268" s="243"/>
      <c r="AE268" s="231"/>
      <c r="AF268" s="155"/>
      <c r="AG268" s="153"/>
      <c r="AH268" s="153"/>
      <c r="AI268" s="153"/>
      <c r="AJ268" s="153"/>
    </row>
    <row r="269" spans="1:37" s="3" customFormat="1" ht="21" customHeight="1">
      <c r="A269" s="230"/>
      <c r="B269" s="248"/>
      <c r="C269" s="238"/>
      <c r="D269" s="238"/>
      <c r="E269" s="238"/>
      <c r="F269" s="238"/>
      <c r="G269" s="238"/>
      <c r="H269" s="243"/>
      <c r="I269" s="247"/>
      <c r="J269" s="247"/>
      <c r="K269" s="243"/>
      <c r="L269" s="238"/>
      <c r="M269" s="244"/>
      <c r="N269" s="243"/>
      <c r="O269" s="243"/>
      <c r="P269" s="243"/>
      <c r="Q269" s="243"/>
      <c r="R269" s="243"/>
      <c r="S269" s="243"/>
      <c r="T269" s="243"/>
      <c r="U269" s="186" t="s">
        <v>486</v>
      </c>
      <c r="V269" s="191"/>
      <c r="W269" s="191"/>
      <c r="X269" s="164" t="s">
        <v>2</v>
      </c>
      <c r="Y269" s="161">
        <v>3</v>
      </c>
      <c r="Z269" s="183">
        <v>1000000</v>
      </c>
      <c r="AA269" s="214"/>
      <c r="AB269" s="216">
        <v>0</v>
      </c>
      <c r="AC269" s="161">
        <f t="shared" ref="AC269:AC270" si="41">Y269*Z269*AB269</f>
        <v>0</v>
      </c>
      <c r="AD269" s="243"/>
      <c r="AE269" s="231"/>
      <c r="AF269" s="155"/>
      <c r="AG269" s="153"/>
      <c r="AH269" s="153"/>
      <c r="AI269" s="153"/>
      <c r="AJ269" s="153"/>
    </row>
    <row r="270" spans="1:37" s="21" customFormat="1" ht="21" customHeight="1">
      <c r="A270" s="230">
        <v>38</v>
      </c>
      <c r="B270" s="248" t="s">
        <v>634</v>
      </c>
      <c r="C270" s="238" t="s">
        <v>44</v>
      </c>
      <c r="D270" s="238">
        <v>64</v>
      </c>
      <c r="E270" s="238">
        <v>588</v>
      </c>
      <c r="F270" s="238">
        <v>1221.7</v>
      </c>
      <c r="G270" s="238" t="s">
        <v>28</v>
      </c>
      <c r="H270" s="243">
        <v>1224</v>
      </c>
      <c r="I270" s="247">
        <f>F270-H270</f>
        <v>-2.2999999999999545</v>
      </c>
      <c r="J270" s="247">
        <v>1224</v>
      </c>
      <c r="K270" s="243">
        <v>1620</v>
      </c>
      <c r="L270" s="238"/>
      <c r="M270" s="244">
        <f>J270/K270*100</f>
        <v>75.555555555555557</v>
      </c>
      <c r="N270" s="243">
        <v>12</v>
      </c>
      <c r="O270" s="243">
        <v>4</v>
      </c>
      <c r="P270" s="243">
        <v>80000</v>
      </c>
      <c r="Q270" s="243">
        <f>P270*J270</f>
        <v>97920000</v>
      </c>
      <c r="R270" s="243">
        <f>Q270*3</f>
        <v>293760000</v>
      </c>
      <c r="S270" s="243">
        <f>N270*O270*S6</f>
        <v>24480000</v>
      </c>
      <c r="T270" s="243">
        <f>SUM(Q270:S282)</f>
        <v>416160000</v>
      </c>
      <c r="U270" s="210" t="s">
        <v>446</v>
      </c>
      <c r="V270" s="191"/>
      <c r="W270" s="191"/>
      <c r="X270" s="164" t="s">
        <v>0</v>
      </c>
      <c r="Y270" s="215">
        <v>980</v>
      </c>
      <c r="Z270" s="183">
        <v>180000</v>
      </c>
      <c r="AA270" s="209"/>
      <c r="AB270" s="197">
        <v>1</v>
      </c>
      <c r="AC270" s="161">
        <f t="shared" si="41"/>
        <v>176400000</v>
      </c>
      <c r="AD270" s="243">
        <f>SUM(AC270:AC282)</f>
        <v>210300000</v>
      </c>
      <c r="AE270" s="231">
        <f>T270+AD270</f>
        <v>626460000</v>
      </c>
      <c r="AF270" s="155"/>
      <c r="AG270" s="153"/>
      <c r="AH270" s="153"/>
      <c r="AI270" s="153"/>
      <c r="AJ270" s="153"/>
      <c r="AK270" s="21" t="s">
        <v>656</v>
      </c>
    </row>
    <row r="271" spans="1:37" s="21" customFormat="1" ht="33" customHeight="1">
      <c r="A271" s="230"/>
      <c r="B271" s="248"/>
      <c r="C271" s="238"/>
      <c r="D271" s="238"/>
      <c r="E271" s="238"/>
      <c r="F271" s="238"/>
      <c r="G271" s="238"/>
      <c r="H271" s="243"/>
      <c r="I271" s="247"/>
      <c r="J271" s="247"/>
      <c r="K271" s="243"/>
      <c r="L271" s="238"/>
      <c r="M271" s="244"/>
      <c r="N271" s="243"/>
      <c r="O271" s="243"/>
      <c r="P271" s="243"/>
      <c r="Q271" s="243"/>
      <c r="R271" s="243"/>
      <c r="S271" s="243"/>
      <c r="T271" s="243"/>
      <c r="U271" s="182" t="s">
        <v>515</v>
      </c>
      <c r="V271" s="191">
        <v>20</v>
      </c>
      <c r="W271" s="191">
        <f>(H270-Y270)/20</f>
        <v>12.2</v>
      </c>
      <c r="X271" s="164" t="s">
        <v>2</v>
      </c>
      <c r="Y271" s="161">
        <v>20</v>
      </c>
      <c r="Z271" s="183"/>
      <c r="AA271" s="214"/>
      <c r="AB271" s="216"/>
      <c r="AC271" s="161"/>
      <c r="AD271" s="243"/>
      <c r="AE271" s="231"/>
      <c r="AF271" s="155" t="s">
        <v>398</v>
      </c>
      <c r="AG271" s="155"/>
      <c r="AH271" s="153"/>
      <c r="AI271" s="153"/>
      <c r="AJ271" s="153"/>
    </row>
    <row r="272" spans="1:37" s="21" customFormat="1" ht="21" customHeight="1">
      <c r="A272" s="230"/>
      <c r="B272" s="248"/>
      <c r="C272" s="238"/>
      <c r="D272" s="238"/>
      <c r="E272" s="238"/>
      <c r="F272" s="238"/>
      <c r="G272" s="238"/>
      <c r="H272" s="243"/>
      <c r="I272" s="247"/>
      <c r="J272" s="247"/>
      <c r="K272" s="243"/>
      <c r="L272" s="238"/>
      <c r="M272" s="244"/>
      <c r="N272" s="243"/>
      <c r="O272" s="243"/>
      <c r="P272" s="243"/>
      <c r="Q272" s="243"/>
      <c r="R272" s="243"/>
      <c r="S272" s="243"/>
      <c r="T272" s="243"/>
      <c r="U272" s="186" t="s">
        <v>421</v>
      </c>
      <c r="V272" s="191"/>
      <c r="W272" s="191"/>
      <c r="X272" s="164" t="s">
        <v>2</v>
      </c>
      <c r="Y272" s="161">
        <v>12</v>
      </c>
      <c r="Z272" s="183">
        <v>2500000</v>
      </c>
      <c r="AA272" s="214"/>
      <c r="AB272" s="216">
        <v>1</v>
      </c>
      <c r="AC272" s="161">
        <f>Y272*Z272*AB272</f>
        <v>30000000</v>
      </c>
      <c r="AD272" s="243"/>
      <c r="AE272" s="231"/>
      <c r="AF272" s="155"/>
      <c r="AG272" s="153"/>
      <c r="AH272" s="153"/>
      <c r="AI272" s="153"/>
      <c r="AJ272" s="153"/>
    </row>
    <row r="273" spans="1:37" s="21" customFormat="1" ht="21" customHeight="1">
      <c r="A273" s="230"/>
      <c r="B273" s="248"/>
      <c r="C273" s="238"/>
      <c r="D273" s="238"/>
      <c r="E273" s="238"/>
      <c r="F273" s="238"/>
      <c r="G273" s="238"/>
      <c r="H273" s="243"/>
      <c r="I273" s="247"/>
      <c r="J273" s="247"/>
      <c r="K273" s="243"/>
      <c r="L273" s="238"/>
      <c r="M273" s="244"/>
      <c r="N273" s="243"/>
      <c r="O273" s="243"/>
      <c r="P273" s="243"/>
      <c r="Q273" s="243"/>
      <c r="R273" s="243"/>
      <c r="S273" s="243"/>
      <c r="T273" s="243"/>
      <c r="U273" s="186" t="s">
        <v>423</v>
      </c>
      <c r="V273" s="191"/>
      <c r="W273" s="191">
        <f>0.3*13</f>
        <v>3.9</v>
      </c>
      <c r="X273" s="164" t="s">
        <v>2</v>
      </c>
      <c r="Y273" s="161">
        <v>4</v>
      </c>
      <c r="Z273" s="183">
        <v>2500000</v>
      </c>
      <c r="AA273" s="214"/>
      <c r="AB273" s="216">
        <v>0.3</v>
      </c>
      <c r="AC273" s="161">
        <f t="shared" ref="AC273:AC276" si="42">Y273*Z273*AB273</f>
        <v>3000000</v>
      </c>
      <c r="AD273" s="243"/>
      <c r="AE273" s="231"/>
      <c r="AF273" s="155"/>
      <c r="AG273" s="153"/>
      <c r="AH273" s="153"/>
      <c r="AI273" s="153"/>
      <c r="AJ273" s="153"/>
    </row>
    <row r="274" spans="1:37" s="21" customFormat="1" ht="21" customHeight="1">
      <c r="A274" s="230"/>
      <c r="B274" s="248"/>
      <c r="C274" s="238"/>
      <c r="D274" s="238"/>
      <c r="E274" s="238"/>
      <c r="F274" s="238"/>
      <c r="G274" s="238"/>
      <c r="H274" s="243"/>
      <c r="I274" s="247"/>
      <c r="J274" s="247"/>
      <c r="K274" s="243"/>
      <c r="L274" s="238"/>
      <c r="M274" s="244"/>
      <c r="N274" s="243"/>
      <c r="O274" s="243"/>
      <c r="P274" s="243"/>
      <c r="Q274" s="243"/>
      <c r="R274" s="243"/>
      <c r="S274" s="243"/>
      <c r="T274" s="243"/>
      <c r="U274" s="186" t="s">
        <v>424</v>
      </c>
      <c r="V274" s="191"/>
      <c r="W274" s="191"/>
      <c r="X274" s="164" t="s">
        <v>2</v>
      </c>
      <c r="Y274" s="161">
        <v>4</v>
      </c>
      <c r="Z274" s="183">
        <v>2500000</v>
      </c>
      <c r="AA274" s="214"/>
      <c r="AB274" s="216">
        <v>0</v>
      </c>
      <c r="AC274" s="161">
        <f t="shared" si="42"/>
        <v>0</v>
      </c>
      <c r="AD274" s="243"/>
      <c r="AE274" s="231"/>
      <c r="AF274" s="155"/>
      <c r="AG274" s="153"/>
      <c r="AH274" s="153"/>
      <c r="AI274" s="153"/>
      <c r="AJ274" s="153"/>
      <c r="AK274" s="21" t="s">
        <v>655</v>
      </c>
    </row>
    <row r="275" spans="1:37" s="21" customFormat="1" ht="21" customHeight="1">
      <c r="A275" s="230"/>
      <c r="B275" s="248"/>
      <c r="C275" s="238"/>
      <c r="D275" s="238"/>
      <c r="E275" s="238"/>
      <c r="F275" s="238"/>
      <c r="G275" s="238"/>
      <c r="H275" s="243"/>
      <c r="I275" s="247"/>
      <c r="J275" s="247"/>
      <c r="K275" s="243"/>
      <c r="L275" s="238"/>
      <c r="M275" s="244"/>
      <c r="N275" s="243"/>
      <c r="O275" s="243"/>
      <c r="P275" s="243"/>
      <c r="Q275" s="243"/>
      <c r="R275" s="243"/>
      <c r="S275" s="243"/>
      <c r="T275" s="243"/>
      <c r="U275" s="182" t="s">
        <v>516</v>
      </c>
      <c r="V275" s="191"/>
      <c r="W275" s="191"/>
      <c r="X275" s="164" t="s">
        <v>2</v>
      </c>
      <c r="Y275" s="161">
        <v>5</v>
      </c>
      <c r="Z275" s="183"/>
      <c r="AA275" s="214"/>
      <c r="AB275" s="216"/>
      <c r="AC275" s="161"/>
      <c r="AD275" s="243"/>
      <c r="AE275" s="231"/>
      <c r="AF275" s="155"/>
      <c r="AG275" s="153"/>
      <c r="AH275" s="153"/>
      <c r="AI275" s="153"/>
      <c r="AJ275" s="153"/>
    </row>
    <row r="276" spans="1:37" s="21" customFormat="1" ht="21" customHeight="1">
      <c r="A276" s="230"/>
      <c r="B276" s="248"/>
      <c r="C276" s="238"/>
      <c r="D276" s="238"/>
      <c r="E276" s="238"/>
      <c r="F276" s="238"/>
      <c r="G276" s="238"/>
      <c r="H276" s="243"/>
      <c r="I276" s="247"/>
      <c r="J276" s="247"/>
      <c r="K276" s="243"/>
      <c r="L276" s="238"/>
      <c r="M276" s="244"/>
      <c r="N276" s="243"/>
      <c r="O276" s="243"/>
      <c r="P276" s="243"/>
      <c r="Q276" s="243"/>
      <c r="R276" s="243"/>
      <c r="S276" s="243"/>
      <c r="T276" s="243"/>
      <c r="U276" s="186" t="s">
        <v>424</v>
      </c>
      <c r="V276" s="191"/>
      <c r="W276" s="191"/>
      <c r="X276" s="164" t="s">
        <v>2</v>
      </c>
      <c r="Y276" s="161">
        <v>5</v>
      </c>
      <c r="Z276" s="183">
        <v>1800000</v>
      </c>
      <c r="AA276" s="214"/>
      <c r="AB276" s="216">
        <v>0</v>
      </c>
      <c r="AC276" s="161">
        <f t="shared" si="42"/>
        <v>0</v>
      </c>
      <c r="AD276" s="243"/>
      <c r="AE276" s="231"/>
      <c r="AF276" s="155"/>
      <c r="AG276" s="153"/>
      <c r="AH276" s="153"/>
      <c r="AI276" s="153"/>
      <c r="AJ276" s="153"/>
    </row>
    <row r="277" spans="1:37" s="21" customFormat="1" ht="40.5" customHeight="1">
      <c r="A277" s="230"/>
      <c r="B277" s="248"/>
      <c r="C277" s="238"/>
      <c r="D277" s="238"/>
      <c r="E277" s="238"/>
      <c r="F277" s="238"/>
      <c r="G277" s="238"/>
      <c r="H277" s="243"/>
      <c r="I277" s="247"/>
      <c r="J277" s="247"/>
      <c r="K277" s="243"/>
      <c r="L277" s="238"/>
      <c r="M277" s="244"/>
      <c r="N277" s="243"/>
      <c r="O277" s="243"/>
      <c r="P277" s="243"/>
      <c r="Q277" s="243"/>
      <c r="R277" s="243"/>
      <c r="S277" s="243"/>
      <c r="T277" s="243"/>
      <c r="U277" s="182" t="s">
        <v>511</v>
      </c>
      <c r="V277" s="191">
        <v>25</v>
      </c>
      <c r="W277" s="191">
        <f>(H270-980)/25</f>
        <v>9.76</v>
      </c>
      <c r="X277" s="164" t="s">
        <v>2</v>
      </c>
      <c r="Y277" s="161">
        <v>5</v>
      </c>
      <c r="Z277" s="183"/>
      <c r="AA277" s="209"/>
      <c r="AB277" s="197"/>
      <c r="AC277" s="161"/>
      <c r="AD277" s="243"/>
      <c r="AE277" s="231"/>
      <c r="AF277" s="155"/>
      <c r="AG277" s="153"/>
      <c r="AH277" s="153"/>
      <c r="AI277" s="153"/>
      <c r="AJ277" s="153"/>
    </row>
    <row r="278" spans="1:37" s="21" customFormat="1" ht="22.5" customHeight="1">
      <c r="A278" s="230"/>
      <c r="B278" s="248"/>
      <c r="C278" s="238"/>
      <c r="D278" s="238"/>
      <c r="E278" s="238"/>
      <c r="F278" s="238"/>
      <c r="G278" s="238"/>
      <c r="H278" s="243"/>
      <c r="I278" s="247"/>
      <c r="J278" s="247"/>
      <c r="K278" s="243"/>
      <c r="L278" s="238"/>
      <c r="M278" s="244"/>
      <c r="N278" s="243"/>
      <c r="O278" s="243"/>
      <c r="P278" s="243"/>
      <c r="Q278" s="243"/>
      <c r="R278" s="243"/>
      <c r="S278" s="243"/>
      <c r="T278" s="243"/>
      <c r="U278" s="186" t="s">
        <v>423</v>
      </c>
      <c r="V278" s="191"/>
      <c r="W278" s="191">
        <f>0.3*W277</f>
        <v>2.9279999999999999</v>
      </c>
      <c r="X278" s="164" t="s">
        <v>2</v>
      </c>
      <c r="Y278" s="161">
        <v>3</v>
      </c>
      <c r="Z278" s="183">
        <v>1000000</v>
      </c>
      <c r="AA278" s="214"/>
      <c r="AB278" s="216">
        <v>0.3</v>
      </c>
      <c r="AC278" s="161">
        <f>Y278*Z278*AB278</f>
        <v>900000</v>
      </c>
      <c r="AD278" s="243"/>
      <c r="AE278" s="231"/>
      <c r="AF278" s="155"/>
      <c r="AG278" s="153"/>
      <c r="AH278" s="153"/>
      <c r="AI278" s="153"/>
      <c r="AJ278" s="153"/>
    </row>
    <row r="279" spans="1:37" s="21" customFormat="1" ht="22.5" customHeight="1">
      <c r="A279" s="230"/>
      <c r="B279" s="248"/>
      <c r="C279" s="238"/>
      <c r="D279" s="238"/>
      <c r="E279" s="238"/>
      <c r="F279" s="238"/>
      <c r="G279" s="238"/>
      <c r="H279" s="243"/>
      <c r="I279" s="247"/>
      <c r="J279" s="247"/>
      <c r="K279" s="243"/>
      <c r="L279" s="238"/>
      <c r="M279" s="244"/>
      <c r="N279" s="243"/>
      <c r="O279" s="243"/>
      <c r="P279" s="243"/>
      <c r="Q279" s="243"/>
      <c r="R279" s="243"/>
      <c r="S279" s="243"/>
      <c r="T279" s="243"/>
      <c r="U279" s="186" t="s">
        <v>424</v>
      </c>
      <c r="V279" s="191"/>
      <c r="W279" s="191"/>
      <c r="X279" s="164" t="s">
        <v>2</v>
      </c>
      <c r="Y279" s="161">
        <f>Y277-Y278</f>
        <v>2</v>
      </c>
      <c r="Z279" s="183">
        <v>1000000</v>
      </c>
      <c r="AA279" s="214"/>
      <c r="AB279" s="216">
        <v>0</v>
      </c>
      <c r="AC279" s="161">
        <f t="shared" ref="AC279" si="43">Y279*Z279*AB279</f>
        <v>0</v>
      </c>
      <c r="AD279" s="243"/>
      <c r="AE279" s="231"/>
      <c r="AF279" s="155"/>
      <c r="AG279" s="153"/>
      <c r="AH279" s="153"/>
      <c r="AI279" s="153"/>
      <c r="AJ279" s="153"/>
    </row>
    <row r="280" spans="1:37" s="21" customFormat="1" ht="22.5" customHeight="1">
      <c r="A280" s="230"/>
      <c r="B280" s="248"/>
      <c r="C280" s="238"/>
      <c r="D280" s="238"/>
      <c r="E280" s="238"/>
      <c r="F280" s="238"/>
      <c r="G280" s="238"/>
      <c r="H280" s="243"/>
      <c r="I280" s="247"/>
      <c r="J280" s="247"/>
      <c r="K280" s="243"/>
      <c r="L280" s="238"/>
      <c r="M280" s="244"/>
      <c r="N280" s="243"/>
      <c r="O280" s="243"/>
      <c r="P280" s="243"/>
      <c r="Q280" s="243"/>
      <c r="R280" s="243"/>
      <c r="S280" s="243"/>
      <c r="T280" s="243"/>
      <c r="U280" s="173" t="s">
        <v>426</v>
      </c>
      <c r="V280" s="191"/>
      <c r="W280" s="191"/>
      <c r="X280" s="164" t="s">
        <v>399</v>
      </c>
      <c r="Y280" s="192">
        <v>2</v>
      </c>
      <c r="Z280" s="183"/>
      <c r="AA280" s="214"/>
      <c r="AB280" s="216"/>
      <c r="AC280" s="161"/>
      <c r="AD280" s="243"/>
      <c r="AE280" s="231"/>
      <c r="AF280" s="155"/>
      <c r="AG280" s="153"/>
      <c r="AH280" s="153"/>
      <c r="AI280" s="153"/>
      <c r="AJ280" s="153"/>
    </row>
    <row r="281" spans="1:37" s="21" customFormat="1" ht="21" customHeight="1">
      <c r="A281" s="230"/>
      <c r="B281" s="248"/>
      <c r="C281" s="238"/>
      <c r="D281" s="238"/>
      <c r="E281" s="238"/>
      <c r="F281" s="238"/>
      <c r="G281" s="238"/>
      <c r="H281" s="243"/>
      <c r="I281" s="247"/>
      <c r="J281" s="247"/>
      <c r="K281" s="243"/>
      <c r="L281" s="238"/>
      <c r="M281" s="244"/>
      <c r="N281" s="243"/>
      <c r="O281" s="243"/>
      <c r="P281" s="243"/>
      <c r="Q281" s="243"/>
      <c r="R281" s="243"/>
      <c r="S281" s="243"/>
      <c r="T281" s="243"/>
      <c r="U281" s="173" t="s">
        <v>517</v>
      </c>
      <c r="V281" s="191"/>
      <c r="W281" s="191"/>
      <c r="X281" s="165" t="s">
        <v>8</v>
      </c>
      <c r="Y281" s="161">
        <v>0.8</v>
      </c>
      <c r="Z281" s="183"/>
      <c r="AA281" s="209"/>
      <c r="AB281" s="197"/>
      <c r="AC281" s="161"/>
      <c r="AD281" s="243"/>
      <c r="AE281" s="231"/>
      <c r="AF281" s="155"/>
      <c r="AG281" s="153"/>
      <c r="AH281" s="153"/>
      <c r="AI281" s="153"/>
      <c r="AJ281" s="153"/>
    </row>
    <row r="282" spans="1:37" s="21" customFormat="1" ht="49.5" customHeight="1">
      <c r="A282" s="230"/>
      <c r="B282" s="248"/>
      <c r="C282" s="238"/>
      <c r="D282" s="238"/>
      <c r="E282" s="238"/>
      <c r="F282" s="238"/>
      <c r="G282" s="238"/>
      <c r="H282" s="243"/>
      <c r="I282" s="247"/>
      <c r="J282" s="247"/>
      <c r="K282" s="243"/>
      <c r="L282" s="238"/>
      <c r="M282" s="244"/>
      <c r="N282" s="243"/>
      <c r="O282" s="243"/>
      <c r="P282" s="243"/>
      <c r="Q282" s="243"/>
      <c r="R282" s="243"/>
      <c r="S282" s="243"/>
      <c r="T282" s="243"/>
      <c r="U282" s="190" t="s">
        <v>433</v>
      </c>
      <c r="V282" s="191"/>
      <c r="W282" s="191"/>
      <c r="X282" s="164" t="s">
        <v>0</v>
      </c>
      <c r="Y282" s="192">
        <v>71</v>
      </c>
      <c r="Z282" s="183"/>
      <c r="AA282" s="214"/>
      <c r="AB282" s="216"/>
      <c r="AC282" s="161"/>
      <c r="AD282" s="243"/>
      <c r="AE282" s="231"/>
      <c r="AF282" s="155"/>
      <c r="AG282" s="153"/>
      <c r="AH282" s="153"/>
      <c r="AI282" s="153"/>
      <c r="AJ282" s="153"/>
    </row>
    <row r="283" spans="1:37" s="16" customFormat="1" ht="21" customHeight="1">
      <c r="A283" s="230">
        <v>39</v>
      </c>
      <c r="B283" s="235" t="s">
        <v>518</v>
      </c>
      <c r="C283" s="235" t="s">
        <v>412</v>
      </c>
      <c r="D283" s="238">
        <v>64</v>
      </c>
      <c r="E283" s="238">
        <v>593</v>
      </c>
      <c r="F283" s="238">
        <v>180</v>
      </c>
      <c r="G283" s="238" t="s">
        <v>28</v>
      </c>
      <c r="H283" s="243">
        <v>180</v>
      </c>
      <c r="I283" s="247">
        <f>F283-H283</f>
        <v>0</v>
      </c>
      <c r="J283" s="243">
        <v>180</v>
      </c>
      <c r="K283" s="243">
        <v>1080</v>
      </c>
      <c r="L283" s="243">
        <v>450</v>
      </c>
      <c r="M283" s="244">
        <f>J283/K283*100</f>
        <v>16.666666666666664</v>
      </c>
      <c r="N283" s="243">
        <v>3</v>
      </c>
      <c r="O283" s="243">
        <v>4</v>
      </c>
      <c r="P283" s="243">
        <v>80000</v>
      </c>
      <c r="Q283" s="243">
        <f>P283*J283</f>
        <v>14400000</v>
      </c>
      <c r="R283" s="243">
        <f>Q283*3</f>
        <v>43200000</v>
      </c>
      <c r="S283" s="243">
        <f>N283*O283*S6</f>
        <v>6120000</v>
      </c>
      <c r="T283" s="243">
        <f>SUM(Q283:S288)</f>
        <v>63720000</v>
      </c>
      <c r="U283" s="182" t="s">
        <v>519</v>
      </c>
      <c r="V283" s="191">
        <v>4</v>
      </c>
      <c r="W283" s="191">
        <f>(J283-10)/V283</f>
        <v>42.5</v>
      </c>
      <c r="X283" s="164" t="s">
        <v>396</v>
      </c>
      <c r="Y283" s="161">
        <v>30</v>
      </c>
      <c r="Z283" s="183"/>
      <c r="AA283" s="209"/>
      <c r="AB283" s="197"/>
      <c r="AC283" s="161"/>
      <c r="AD283" s="243">
        <f>SUM(AC283:AC288)</f>
        <v>9500000</v>
      </c>
      <c r="AE283" s="228">
        <f>T283+AD283</f>
        <v>73220000</v>
      </c>
      <c r="AF283" s="155"/>
      <c r="AG283" s="213"/>
      <c r="AH283" s="214"/>
      <c r="AI283" s="214"/>
      <c r="AJ283" s="214"/>
    </row>
    <row r="284" spans="1:37" s="16" customFormat="1" ht="21" customHeight="1">
      <c r="A284" s="230"/>
      <c r="B284" s="235"/>
      <c r="C284" s="235"/>
      <c r="D284" s="238"/>
      <c r="E284" s="238"/>
      <c r="F284" s="238"/>
      <c r="G284" s="238"/>
      <c r="H284" s="243"/>
      <c r="I284" s="247"/>
      <c r="J284" s="243"/>
      <c r="K284" s="243"/>
      <c r="L284" s="243"/>
      <c r="M284" s="244"/>
      <c r="N284" s="243"/>
      <c r="O284" s="243"/>
      <c r="P284" s="243"/>
      <c r="Q284" s="243"/>
      <c r="R284" s="243"/>
      <c r="S284" s="243"/>
      <c r="T284" s="243"/>
      <c r="U284" s="186" t="s">
        <v>421</v>
      </c>
      <c r="V284" s="191"/>
      <c r="W284" s="191"/>
      <c r="X284" s="164" t="s">
        <v>396</v>
      </c>
      <c r="Y284" s="161">
        <v>30</v>
      </c>
      <c r="Z284" s="183">
        <v>200000</v>
      </c>
      <c r="AA284" s="209"/>
      <c r="AB284" s="197">
        <v>1</v>
      </c>
      <c r="AC284" s="161">
        <f>Y284*Z284*AB284</f>
        <v>6000000</v>
      </c>
      <c r="AD284" s="243"/>
      <c r="AE284" s="228"/>
      <c r="AF284" s="155"/>
      <c r="AG284" s="213"/>
      <c r="AH284" s="214"/>
      <c r="AI284" s="214"/>
      <c r="AJ284" s="214"/>
    </row>
    <row r="285" spans="1:37" s="16" customFormat="1" ht="21" customHeight="1">
      <c r="A285" s="230"/>
      <c r="B285" s="235"/>
      <c r="C285" s="235"/>
      <c r="D285" s="238"/>
      <c r="E285" s="238"/>
      <c r="F285" s="238"/>
      <c r="G285" s="238"/>
      <c r="H285" s="243"/>
      <c r="I285" s="247"/>
      <c r="J285" s="243"/>
      <c r="K285" s="243"/>
      <c r="L285" s="243"/>
      <c r="M285" s="244"/>
      <c r="N285" s="243"/>
      <c r="O285" s="243"/>
      <c r="P285" s="243"/>
      <c r="Q285" s="243"/>
      <c r="R285" s="243"/>
      <c r="S285" s="243"/>
      <c r="T285" s="243"/>
      <c r="U285" s="182" t="s">
        <v>520</v>
      </c>
      <c r="V285" s="191"/>
      <c r="W285" s="191"/>
      <c r="X285" s="164" t="s">
        <v>396</v>
      </c>
      <c r="Y285" s="161">
        <v>10</v>
      </c>
      <c r="Z285" s="183"/>
      <c r="AA285" s="209"/>
      <c r="AB285" s="197"/>
      <c r="AC285" s="161"/>
      <c r="AD285" s="243"/>
      <c r="AE285" s="228"/>
      <c r="AF285" s="155"/>
      <c r="AG285" s="213"/>
      <c r="AH285" s="214"/>
      <c r="AI285" s="214"/>
      <c r="AJ285" s="214"/>
    </row>
    <row r="286" spans="1:37" s="16" customFormat="1" ht="21" customHeight="1">
      <c r="A286" s="230"/>
      <c r="B286" s="235"/>
      <c r="C286" s="235"/>
      <c r="D286" s="238"/>
      <c r="E286" s="238"/>
      <c r="F286" s="238"/>
      <c r="G286" s="238"/>
      <c r="H286" s="243"/>
      <c r="I286" s="247"/>
      <c r="J286" s="243"/>
      <c r="K286" s="243"/>
      <c r="L286" s="243"/>
      <c r="M286" s="244"/>
      <c r="N286" s="243"/>
      <c r="O286" s="243"/>
      <c r="P286" s="243"/>
      <c r="Q286" s="243"/>
      <c r="R286" s="243"/>
      <c r="S286" s="243"/>
      <c r="T286" s="243"/>
      <c r="U286" s="186" t="s">
        <v>421</v>
      </c>
      <c r="V286" s="191"/>
      <c r="W286" s="191"/>
      <c r="X286" s="164" t="s">
        <v>396</v>
      </c>
      <c r="Y286" s="161">
        <v>10</v>
      </c>
      <c r="Z286" s="183">
        <v>150000</v>
      </c>
      <c r="AA286" s="209"/>
      <c r="AB286" s="197">
        <v>1</v>
      </c>
      <c r="AC286" s="161">
        <f>Y286*Z286*AB286</f>
        <v>1500000</v>
      </c>
      <c r="AD286" s="243"/>
      <c r="AE286" s="228"/>
      <c r="AF286" s="155"/>
      <c r="AG286" s="213"/>
      <c r="AH286" s="214"/>
      <c r="AI286" s="214"/>
      <c r="AJ286" s="214"/>
    </row>
    <row r="287" spans="1:37" s="16" customFormat="1" ht="21" customHeight="1">
      <c r="A287" s="230"/>
      <c r="B287" s="235"/>
      <c r="C287" s="235"/>
      <c r="D287" s="238"/>
      <c r="E287" s="238"/>
      <c r="F287" s="238"/>
      <c r="G287" s="238"/>
      <c r="H287" s="243"/>
      <c r="I287" s="247"/>
      <c r="J287" s="243"/>
      <c r="K287" s="243"/>
      <c r="L287" s="243"/>
      <c r="M287" s="244"/>
      <c r="N287" s="243"/>
      <c r="O287" s="243"/>
      <c r="P287" s="243"/>
      <c r="Q287" s="243"/>
      <c r="R287" s="243"/>
      <c r="S287" s="243"/>
      <c r="T287" s="243"/>
      <c r="U287" s="182" t="s">
        <v>521</v>
      </c>
      <c r="V287" s="191"/>
      <c r="W287" s="191"/>
      <c r="X287" s="164" t="s">
        <v>0</v>
      </c>
      <c r="Y287" s="161">
        <v>100</v>
      </c>
      <c r="Z287" s="183">
        <v>20000</v>
      </c>
      <c r="AA287" s="209"/>
      <c r="AB287" s="197">
        <v>1</v>
      </c>
      <c r="AC287" s="161">
        <f>Y287*Z287*AB287</f>
        <v>2000000</v>
      </c>
      <c r="AD287" s="243"/>
      <c r="AE287" s="228"/>
      <c r="AF287" s="155"/>
      <c r="AG287" s="213"/>
      <c r="AH287" s="214"/>
      <c r="AI287" s="214"/>
      <c r="AJ287" s="214"/>
    </row>
    <row r="288" spans="1:37" s="16" customFormat="1" ht="21" customHeight="1">
      <c r="A288" s="230"/>
      <c r="B288" s="235"/>
      <c r="C288" s="235"/>
      <c r="D288" s="238"/>
      <c r="E288" s="238"/>
      <c r="F288" s="238"/>
      <c r="G288" s="238"/>
      <c r="H288" s="243"/>
      <c r="I288" s="247"/>
      <c r="J288" s="243"/>
      <c r="K288" s="243"/>
      <c r="L288" s="243"/>
      <c r="M288" s="244"/>
      <c r="N288" s="243"/>
      <c r="O288" s="243"/>
      <c r="P288" s="243"/>
      <c r="Q288" s="243"/>
      <c r="R288" s="243"/>
      <c r="S288" s="243"/>
      <c r="T288" s="243"/>
      <c r="U288" s="190" t="s">
        <v>455</v>
      </c>
      <c r="V288" s="191"/>
      <c r="W288" s="191"/>
      <c r="X288" s="164" t="s">
        <v>0</v>
      </c>
      <c r="Y288" s="192">
        <v>10</v>
      </c>
      <c r="Z288" s="211"/>
      <c r="AA288" s="209"/>
      <c r="AB288" s="164"/>
      <c r="AC288" s="161"/>
      <c r="AD288" s="243"/>
      <c r="AE288" s="228"/>
      <c r="AF288" s="155"/>
      <c r="AG288" s="213"/>
      <c r="AH288" s="214"/>
      <c r="AI288" s="214"/>
      <c r="AJ288" s="214"/>
    </row>
    <row r="289" spans="1:36" s="19" customFormat="1" ht="38.25" customHeight="1">
      <c r="A289" s="230">
        <v>40</v>
      </c>
      <c r="B289" s="235" t="s">
        <v>403</v>
      </c>
      <c r="C289" s="238" t="s">
        <v>39</v>
      </c>
      <c r="D289" s="238">
        <v>64</v>
      </c>
      <c r="E289" s="238">
        <v>489</v>
      </c>
      <c r="F289" s="238">
        <v>1528.1</v>
      </c>
      <c r="G289" s="238" t="s">
        <v>28</v>
      </c>
      <c r="H289" s="243">
        <v>1528</v>
      </c>
      <c r="I289" s="247">
        <f>F289-H289</f>
        <v>9.9999999999909051E-2</v>
      </c>
      <c r="J289" s="243">
        <f>H289+H300</f>
        <v>1888</v>
      </c>
      <c r="K289" s="243">
        <v>2160</v>
      </c>
      <c r="L289" s="243"/>
      <c r="M289" s="247">
        <f>J289/K289*100</f>
        <v>87.407407407407405</v>
      </c>
      <c r="N289" s="243">
        <v>12</v>
      </c>
      <c r="O289" s="243">
        <v>10</v>
      </c>
      <c r="P289" s="243">
        <v>80000</v>
      </c>
      <c r="Q289" s="243">
        <f>P289*J289</f>
        <v>151040000</v>
      </c>
      <c r="R289" s="243">
        <f>Q289*3</f>
        <v>453120000</v>
      </c>
      <c r="S289" s="243">
        <f>N289*O289*S6</f>
        <v>61200000</v>
      </c>
      <c r="T289" s="243">
        <f>SUM(Q289:S310)</f>
        <v>665360000</v>
      </c>
      <c r="U289" s="182" t="s">
        <v>420</v>
      </c>
      <c r="V289" s="191">
        <v>20</v>
      </c>
      <c r="W289" s="191">
        <f>H289/V289</f>
        <v>76.400000000000006</v>
      </c>
      <c r="X289" s="164" t="s">
        <v>2</v>
      </c>
      <c r="Y289" s="161">
        <v>20</v>
      </c>
      <c r="Z289" s="183"/>
      <c r="AA289" s="214"/>
      <c r="AB289" s="216"/>
      <c r="AC289" s="161"/>
      <c r="AD289" s="243">
        <f>SUM(AC289:AC299)</f>
        <v>163500000</v>
      </c>
      <c r="AE289" s="228">
        <f>T289+AD289+AD300</f>
        <v>876860000</v>
      </c>
      <c r="AF289" s="155" t="s">
        <v>428</v>
      </c>
      <c r="AG289" s="153"/>
      <c r="AH289" s="153"/>
      <c r="AI289" s="153"/>
      <c r="AJ289" s="153"/>
    </row>
    <row r="290" spans="1:36" s="19" customFormat="1" ht="22.5" customHeight="1">
      <c r="A290" s="230"/>
      <c r="B290" s="235"/>
      <c r="C290" s="238"/>
      <c r="D290" s="238"/>
      <c r="E290" s="238"/>
      <c r="F290" s="238"/>
      <c r="G290" s="238"/>
      <c r="H290" s="243"/>
      <c r="I290" s="247"/>
      <c r="J290" s="243"/>
      <c r="K290" s="243"/>
      <c r="L290" s="243"/>
      <c r="M290" s="247"/>
      <c r="N290" s="243"/>
      <c r="O290" s="243"/>
      <c r="P290" s="243"/>
      <c r="Q290" s="243"/>
      <c r="R290" s="243"/>
      <c r="S290" s="243"/>
      <c r="T290" s="243"/>
      <c r="U290" s="186" t="s">
        <v>421</v>
      </c>
      <c r="V290" s="191"/>
      <c r="W290" s="191"/>
      <c r="X290" s="164" t="s">
        <v>2</v>
      </c>
      <c r="Y290" s="161">
        <v>20</v>
      </c>
      <c r="Z290" s="183">
        <v>2500000</v>
      </c>
      <c r="AA290" s="214"/>
      <c r="AB290" s="216">
        <v>1</v>
      </c>
      <c r="AC290" s="161">
        <f t="shared" ref="AC290:AC292" si="44">Y290*Z290*AB290</f>
        <v>50000000</v>
      </c>
      <c r="AD290" s="243"/>
      <c r="AE290" s="228"/>
      <c r="AF290" s="155"/>
      <c r="AG290" s="153"/>
      <c r="AH290" s="153"/>
      <c r="AI290" s="153"/>
      <c r="AJ290" s="153"/>
    </row>
    <row r="291" spans="1:36" s="19" customFormat="1" ht="37.5" customHeight="1">
      <c r="A291" s="230"/>
      <c r="B291" s="235"/>
      <c r="C291" s="238"/>
      <c r="D291" s="238"/>
      <c r="E291" s="238"/>
      <c r="F291" s="238"/>
      <c r="G291" s="238"/>
      <c r="H291" s="243"/>
      <c r="I291" s="247"/>
      <c r="J291" s="243"/>
      <c r="K291" s="243"/>
      <c r="L291" s="243"/>
      <c r="M291" s="247"/>
      <c r="N291" s="243"/>
      <c r="O291" s="243"/>
      <c r="P291" s="243"/>
      <c r="Q291" s="243"/>
      <c r="R291" s="243"/>
      <c r="S291" s="243"/>
      <c r="T291" s="243"/>
      <c r="U291" s="182" t="s">
        <v>645</v>
      </c>
      <c r="V291" s="191"/>
      <c r="W291" s="191"/>
      <c r="X291" s="164" t="s">
        <v>2</v>
      </c>
      <c r="Y291" s="161">
        <v>55</v>
      </c>
      <c r="Z291" s="183"/>
      <c r="AA291" s="214"/>
      <c r="AB291" s="216"/>
      <c r="AC291" s="161"/>
      <c r="AD291" s="243"/>
      <c r="AE291" s="228"/>
      <c r="AF291" s="155"/>
      <c r="AG291" s="153"/>
      <c r="AH291" s="153"/>
      <c r="AI291" s="153"/>
      <c r="AJ291" s="153"/>
    </row>
    <row r="292" spans="1:36" s="19" customFormat="1" ht="22.5" customHeight="1">
      <c r="A292" s="230"/>
      <c r="B292" s="235"/>
      <c r="C292" s="238"/>
      <c r="D292" s="238"/>
      <c r="E292" s="238"/>
      <c r="F292" s="238"/>
      <c r="G292" s="238"/>
      <c r="H292" s="243"/>
      <c r="I292" s="247"/>
      <c r="J292" s="243"/>
      <c r="K292" s="243"/>
      <c r="L292" s="243"/>
      <c r="M292" s="247"/>
      <c r="N292" s="243"/>
      <c r="O292" s="243"/>
      <c r="P292" s="243"/>
      <c r="Q292" s="243"/>
      <c r="R292" s="243"/>
      <c r="S292" s="243"/>
      <c r="T292" s="243"/>
      <c r="U292" s="186" t="s">
        <v>421</v>
      </c>
      <c r="V292" s="191"/>
      <c r="W292" s="191"/>
      <c r="X292" s="164" t="s">
        <v>2</v>
      </c>
      <c r="Y292" s="161">
        <v>55</v>
      </c>
      <c r="Z292" s="183">
        <v>1800000</v>
      </c>
      <c r="AA292" s="214"/>
      <c r="AB292" s="216">
        <v>1</v>
      </c>
      <c r="AC292" s="161">
        <f t="shared" si="44"/>
        <v>99000000</v>
      </c>
      <c r="AD292" s="243"/>
      <c r="AE292" s="228"/>
      <c r="AF292" s="155"/>
      <c r="AG292" s="153"/>
      <c r="AH292" s="153"/>
      <c r="AI292" s="153"/>
      <c r="AJ292" s="153"/>
    </row>
    <row r="293" spans="1:36" s="19" customFormat="1" ht="39.75" customHeight="1">
      <c r="A293" s="230"/>
      <c r="B293" s="235"/>
      <c r="C293" s="238"/>
      <c r="D293" s="238"/>
      <c r="E293" s="238"/>
      <c r="F293" s="238"/>
      <c r="G293" s="238"/>
      <c r="H293" s="243"/>
      <c r="I293" s="247"/>
      <c r="J293" s="243"/>
      <c r="K293" s="243"/>
      <c r="L293" s="243"/>
      <c r="M293" s="247"/>
      <c r="N293" s="243"/>
      <c r="O293" s="243"/>
      <c r="P293" s="243"/>
      <c r="Q293" s="243"/>
      <c r="R293" s="243"/>
      <c r="S293" s="243"/>
      <c r="T293" s="243"/>
      <c r="U293" s="182" t="s">
        <v>522</v>
      </c>
      <c r="V293" s="191">
        <v>25</v>
      </c>
      <c r="W293" s="191">
        <f>H289/V293</f>
        <v>61.12</v>
      </c>
      <c r="X293" s="164" t="s">
        <v>2</v>
      </c>
      <c r="Y293" s="161">
        <v>20</v>
      </c>
      <c r="Z293" s="183"/>
      <c r="AA293" s="209"/>
      <c r="AB293" s="197"/>
      <c r="AC293" s="161"/>
      <c r="AD293" s="243"/>
      <c r="AE293" s="228"/>
      <c r="AF293" s="155"/>
      <c r="AG293" s="153"/>
      <c r="AH293" s="153"/>
      <c r="AI293" s="153"/>
      <c r="AJ293" s="153"/>
    </row>
    <row r="294" spans="1:36" s="19" customFormat="1" ht="22.5" customHeight="1">
      <c r="A294" s="230"/>
      <c r="B294" s="235"/>
      <c r="C294" s="238"/>
      <c r="D294" s="238"/>
      <c r="E294" s="238"/>
      <c r="F294" s="238"/>
      <c r="G294" s="238"/>
      <c r="H294" s="243"/>
      <c r="I294" s="247"/>
      <c r="J294" s="243"/>
      <c r="K294" s="243"/>
      <c r="L294" s="243"/>
      <c r="M294" s="247"/>
      <c r="N294" s="243"/>
      <c r="O294" s="243"/>
      <c r="P294" s="243"/>
      <c r="Q294" s="243"/>
      <c r="R294" s="243"/>
      <c r="S294" s="243"/>
      <c r="T294" s="243"/>
      <c r="U294" s="186" t="s">
        <v>421</v>
      </c>
      <c r="V294" s="191"/>
      <c r="W294" s="191"/>
      <c r="X294" s="164" t="s">
        <v>2</v>
      </c>
      <c r="Y294" s="161">
        <v>20</v>
      </c>
      <c r="Z294" s="183">
        <v>1000000</v>
      </c>
      <c r="AA294" s="214"/>
      <c r="AB294" s="216">
        <v>0.5</v>
      </c>
      <c r="AC294" s="161">
        <f t="shared" ref="AC294" si="45">Y294*Z294*AB294</f>
        <v>10000000</v>
      </c>
      <c r="AD294" s="243"/>
      <c r="AE294" s="228"/>
      <c r="AF294" s="155"/>
      <c r="AG294" s="153"/>
      <c r="AH294" s="153"/>
      <c r="AI294" s="153"/>
      <c r="AJ294" s="153"/>
    </row>
    <row r="295" spans="1:36" s="19" customFormat="1" ht="22.5" customHeight="1">
      <c r="A295" s="230"/>
      <c r="B295" s="235"/>
      <c r="C295" s="238"/>
      <c r="D295" s="238"/>
      <c r="E295" s="238"/>
      <c r="F295" s="238"/>
      <c r="G295" s="238"/>
      <c r="H295" s="243"/>
      <c r="I295" s="247"/>
      <c r="J295" s="243"/>
      <c r="K295" s="243"/>
      <c r="L295" s="243"/>
      <c r="M295" s="247"/>
      <c r="N295" s="243"/>
      <c r="O295" s="243"/>
      <c r="P295" s="243"/>
      <c r="Q295" s="243"/>
      <c r="R295" s="243"/>
      <c r="S295" s="243"/>
      <c r="T295" s="243"/>
      <c r="U295" s="182" t="s">
        <v>523</v>
      </c>
      <c r="V295" s="191">
        <v>4</v>
      </c>
      <c r="W295" s="191">
        <f>H289/V295</f>
        <v>382</v>
      </c>
      <c r="X295" s="164" t="s">
        <v>396</v>
      </c>
      <c r="Y295" s="161">
        <v>30</v>
      </c>
      <c r="Z295" s="183"/>
      <c r="AA295" s="209"/>
      <c r="AB295" s="197"/>
      <c r="AC295" s="161"/>
      <c r="AD295" s="243"/>
      <c r="AE295" s="228"/>
      <c r="AF295" s="155"/>
      <c r="AG295" s="153"/>
      <c r="AH295" s="153"/>
      <c r="AI295" s="153"/>
      <c r="AJ295" s="153"/>
    </row>
    <row r="296" spans="1:36" s="19" customFormat="1" ht="22.5" customHeight="1">
      <c r="A296" s="230"/>
      <c r="B296" s="235"/>
      <c r="C296" s="238"/>
      <c r="D296" s="238"/>
      <c r="E296" s="238"/>
      <c r="F296" s="238"/>
      <c r="G296" s="238"/>
      <c r="H296" s="243"/>
      <c r="I296" s="247"/>
      <c r="J296" s="243"/>
      <c r="K296" s="243"/>
      <c r="L296" s="243"/>
      <c r="M296" s="247"/>
      <c r="N296" s="243"/>
      <c r="O296" s="243"/>
      <c r="P296" s="243"/>
      <c r="Q296" s="243"/>
      <c r="R296" s="243"/>
      <c r="S296" s="243"/>
      <c r="T296" s="243"/>
      <c r="U296" s="186" t="s">
        <v>421</v>
      </c>
      <c r="V296" s="191"/>
      <c r="W296" s="191"/>
      <c r="X296" s="164" t="s">
        <v>396</v>
      </c>
      <c r="Y296" s="161">
        <v>30</v>
      </c>
      <c r="Z296" s="183">
        <v>200000</v>
      </c>
      <c r="AA296" s="209"/>
      <c r="AB296" s="197">
        <v>0.5</v>
      </c>
      <c r="AC296" s="161">
        <f>Y296*Z296*AB296</f>
        <v>3000000</v>
      </c>
      <c r="AD296" s="243"/>
      <c r="AE296" s="228"/>
      <c r="AF296" s="155"/>
      <c r="AG296" s="153"/>
      <c r="AH296" s="153"/>
      <c r="AI296" s="153"/>
      <c r="AJ296" s="153"/>
    </row>
    <row r="297" spans="1:36" s="19" customFormat="1" ht="22.5" customHeight="1">
      <c r="A297" s="230"/>
      <c r="B297" s="235"/>
      <c r="C297" s="238"/>
      <c r="D297" s="238"/>
      <c r="E297" s="238"/>
      <c r="F297" s="238"/>
      <c r="G297" s="238"/>
      <c r="H297" s="243"/>
      <c r="I297" s="247"/>
      <c r="J297" s="243"/>
      <c r="K297" s="243"/>
      <c r="L297" s="243"/>
      <c r="M297" s="247"/>
      <c r="N297" s="243"/>
      <c r="O297" s="243"/>
      <c r="P297" s="243"/>
      <c r="Q297" s="243"/>
      <c r="R297" s="243"/>
      <c r="S297" s="243"/>
      <c r="T297" s="243"/>
      <c r="U297" s="182" t="s">
        <v>524</v>
      </c>
      <c r="V297" s="191"/>
      <c r="W297" s="191"/>
      <c r="X297" s="164" t="s">
        <v>396</v>
      </c>
      <c r="Y297" s="161">
        <v>20</v>
      </c>
      <c r="Z297" s="183"/>
      <c r="AA297" s="209"/>
      <c r="AB297" s="197"/>
      <c r="AC297" s="161"/>
      <c r="AD297" s="243"/>
      <c r="AE297" s="228"/>
      <c r="AF297" s="155"/>
      <c r="AG297" s="153"/>
      <c r="AH297" s="153"/>
      <c r="AI297" s="153"/>
      <c r="AJ297" s="153"/>
    </row>
    <row r="298" spans="1:36" s="19" customFormat="1" ht="22.5" customHeight="1">
      <c r="A298" s="230"/>
      <c r="B298" s="235"/>
      <c r="C298" s="238"/>
      <c r="D298" s="238"/>
      <c r="E298" s="238"/>
      <c r="F298" s="238"/>
      <c r="G298" s="238"/>
      <c r="H298" s="243"/>
      <c r="I298" s="247"/>
      <c r="J298" s="243"/>
      <c r="K298" s="243"/>
      <c r="L298" s="243"/>
      <c r="M298" s="247"/>
      <c r="N298" s="243"/>
      <c r="O298" s="243"/>
      <c r="P298" s="243"/>
      <c r="Q298" s="243"/>
      <c r="R298" s="243"/>
      <c r="S298" s="243"/>
      <c r="T298" s="243"/>
      <c r="U298" s="186" t="s">
        <v>421</v>
      </c>
      <c r="V298" s="191"/>
      <c r="W298" s="191"/>
      <c r="X298" s="164" t="s">
        <v>396</v>
      </c>
      <c r="Y298" s="161">
        <v>20</v>
      </c>
      <c r="Z298" s="183">
        <v>150000</v>
      </c>
      <c r="AA298" s="209"/>
      <c r="AB298" s="197">
        <v>0.5</v>
      </c>
      <c r="AC298" s="161">
        <f>Y298*Z298*AB298</f>
        <v>1500000</v>
      </c>
      <c r="AD298" s="243"/>
      <c r="AE298" s="228"/>
      <c r="AF298" s="155"/>
      <c r="AG298" s="153"/>
      <c r="AH298" s="153"/>
      <c r="AI298" s="153"/>
      <c r="AJ298" s="153"/>
    </row>
    <row r="299" spans="1:36" s="19" customFormat="1" ht="22.5" customHeight="1">
      <c r="A299" s="230"/>
      <c r="B299" s="235"/>
      <c r="C299" s="238"/>
      <c r="D299" s="238"/>
      <c r="E299" s="238"/>
      <c r="F299" s="238"/>
      <c r="G299" s="238"/>
      <c r="H299" s="243"/>
      <c r="I299" s="247"/>
      <c r="J299" s="243"/>
      <c r="K299" s="243"/>
      <c r="L299" s="243"/>
      <c r="M299" s="247"/>
      <c r="N299" s="243"/>
      <c r="O299" s="243"/>
      <c r="P299" s="243"/>
      <c r="Q299" s="243"/>
      <c r="R299" s="243"/>
      <c r="S299" s="243"/>
      <c r="T299" s="243"/>
      <c r="U299" s="173" t="s">
        <v>525</v>
      </c>
      <c r="V299" s="191"/>
      <c r="W299" s="191"/>
      <c r="X299" s="164" t="s">
        <v>399</v>
      </c>
      <c r="Y299" s="192">
        <v>2</v>
      </c>
      <c r="Z299" s="183"/>
      <c r="AA299" s="214"/>
      <c r="AB299" s="216"/>
      <c r="AC299" s="161"/>
      <c r="AD299" s="243"/>
      <c r="AE299" s="228"/>
      <c r="AF299" s="155"/>
      <c r="AG299" s="153"/>
      <c r="AH299" s="153"/>
      <c r="AI299" s="153"/>
      <c r="AJ299" s="153"/>
    </row>
    <row r="300" spans="1:36" s="19" customFormat="1" ht="35.25" customHeight="1">
      <c r="A300" s="230"/>
      <c r="B300" s="235"/>
      <c r="C300" s="230"/>
      <c r="D300" s="230">
        <v>64</v>
      </c>
      <c r="E300" s="230">
        <v>602</v>
      </c>
      <c r="F300" s="230">
        <v>355</v>
      </c>
      <c r="G300" s="230" t="s">
        <v>28</v>
      </c>
      <c r="H300" s="229">
        <v>360</v>
      </c>
      <c r="I300" s="242">
        <f>F300-H300</f>
        <v>-5</v>
      </c>
      <c r="J300" s="243"/>
      <c r="K300" s="243"/>
      <c r="L300" s="243"/>
      <c r="M300" s="247"/>
      <c r="N300" s="243"/>
      <c r="O300" s="243"/>
      <c r="P300" s="243"/>
      <c r="Q300" s="243"/>
      <c r="R300" s="243"/>
      <c r="S300" s="243"/>
      <c r="T300" s="243"/>
      <c r="U300" s="182" t="s">
        <v>420</v>
      </c>
      <c r="V300" s="191">
        <v>20</v>
      </c>
      <c r="W300" s="191">
        <f>H300/V300</f>
        <v>18</v>
      </c>
      <c r="X300" s="164" t="s">
        <v>2</v>
      </c>
      <c r="Y300" s="161">
        <v>18</v>
      </c>
      <c r="Z300" s="183"/>
      <c r="AA300" s="214"/>
      <c r="AB300" s="216"/>
      <c r="AC300" s="161"/>
      <c r="AD300" s="243">
        <f>SUM(AC300:AC310)</f>
        <v>48000000</v>
      </c>
      <c r="AE300" s="228"/>
      <c r="AF300" s="155" t="s">
        <v>526</v>
      </c>
      <c r="AG300" s="153"/>
      <c r="AH300" s="153"/>
      <c r="AI300" s="153"/>
      <c r="AJ300" s="153"/>
    </row>
    <row r="301" spans="1:36" s="19" customFormat="1" ht="22.5" customHeight="1">
      <c r="A301" s="230"/>
      <c r="B301" s="235"/>
      <c r="C301" s="230"/>
      <c r="D301" s="230"/>
      <c r="E301" s="230"/>
      <c r="F301" s="230"/>
      <c r="G301" s="230"/>
      <c r="H301" s="229"/>
      <c r="I301" s="242"/>
      <c r="J301" s="243"/>
      <c r="K301" s="243"/>
      <c r="L301" s="243"/>
      <c r="M301" s="247"/>
      <c r="N301" s="243"/>
      <c r="O301" s="243"/>
      <c r="P301" s="243"/>
      <c r="Q301" s="243"/>
      <c r="R301" s="243"/>
      <c r="S301" s="243"/>
      <c r="T301" s="243"/>
      <c r="U301" s="186" t="s">
        <v>421</v>
      </c>
      <c r="V301" s="191"/>
      <c r="W301" s="191"/>
      <c r="X301" s="164" t="s">
        <v>2</v>
      </c>
      <c r="Y301" s="161">
        <v>18</v>
      </c>
      <c r="Z301" s="183">
        <v>2500000</v>
      </c>
      <c r="AA301" s="214"/>
      <c r="AB301" s="216">
        <v>1</v>
      </c>
      <c r="AC301" s="161">
        <f>Y301*Z301*AB301</f>
        <v>45000000</v>
      </c>
      <c r="AD301" s="243"/>
      <c r="AE301" s="228"/>
      <c r="AF301" s="155"/>
      <c r="AG301" s="153"/>
      <c r="AH301" s="153"/>
      <c r="AI301" s="153"/>
      <c r="AJ301" s="153"/>
    </row>
    <row r="302" spans="1:36" s="19" customFormat="1" ht="36.75" customHeight="1">
      <c r="A302" s="230"/>
      <c r="B302" s="235"/>
      <c r="C302" s="230"/>
      <c r="D302" s="230"/>
      <c r="E302" s="230"/>
      <c r="F302" s="230"/>
      <c r="G302" s="230"/>
      <c r="H302" s="229"/>
      <c r="I302" s="242"/>
      <c r="J302" s="243"/>
      <c r="K302" s="243"/>
      <c r="L302" s="243"/>
      <c r="M302" s="247"/>
      <c r="N302" s="243"/>
      <c r="O302" s="243"/>
      <c r="P302" s="243"/>
      <c r="Q302" s="243"/>
      <c r="R302" s="243"/>
      <c r="S302" s="243"/>
      <c r="T302" s="243"/>
      <c r="U302" s="182" t="s">
        <v>527</v>
      </c>
      <c r="V302" s="191">
        <v>25</v>
      </c>
      <c r="W302" s="191">
        <f>H300/V302</f>
        <v>14.4</v>
      </c>
      <c r="X302" s="164" t="s">
        <v>2</v>
      </c>
      <c r="Y302" s="161">
        <v>10</v>
      </c>
      <c r="Z302" s="183"/>
      <c r="AA302" s="209"/>
      <c r="AB302" s="197"/>
      <c r="AC302" s="161"/>
      <c r="AD302" s="243"/>
      <c r="AE302" s="228"/>
      <c r="AF302" s="155"/>
      <c r="AG302" s="153"/>
      <c r="AH302" s="153"/>
      <c r="AI302" s="153"/>
      <c r="AJ302" s="153"/>
    </row>
    <row r="303" spans="1:36" s="19" customFormat="1" ht="23.25" customHeight="1">
      <c r="A303" s="230"/>
      <c r="B303" s="235"/>
      <c r="C303" s="230"/>
      <c r="D303" s="230"/>
      <c r="E303" s="230"/>
      <c r="F303" s="230"/>
      <c r="G303" s="230"/>
      <c r="H303" s="229"/>
      <c r="I303" s="242"/>
      <c r="J303" s="243"/>
      <c r="K303" s="243"/>
      <c r="L303" s="243"/>
      <c r="M303" s="247"/>
      <c r="N303" s="243"/>
      <c r="O303" s="243"/>
      <c r="P303" s="243"/>
      <c r="Q303" s="243"/>
      <c r="R303" s="243"/>
      <c r="S303" s="243"/>
      <c r="T303" s="243"/>
      <c r="U303" s="186" t="s">
        <v>421</v>
      </c>
      <c r="V303" s="191"/>
      <c r="W303" s="191"/>
      <c r="X303" s="164" t="s">
        <v>2</v>
      </c>
      <c r="Y303" s="161">
        <v>10</v>
      </c>
      <c r="Z303" s="183">
        <v>1000000</v>
      </c>
      <c r="AA303" s="214"/>
      <c r="AB303" s="216">
        <v>0.3</v>
      </c>
      <c r="AC303" s="161">
        <f t="shared" ref="AC303" si="46">Y303*Z303*AB303</f>
        <v>3000000</v>
      </c>
      <c r="AD303" s="243"/>
      <c r="AE303" s="228"/>
      <c r="AF303" s="155"/>
      <c r="AG303" s="153"/>
      <c r="AH303" s="153"/>
      <c r="AI303" s="153"/>
      <c r="AJ303" s="153"/>
    </row>
    <row r="304" spans="1:36" s="19" customFormat="1" ht="35.25" customHeight="1">
      <c r="A304" s="230"/>
      <c r="B304" s="235"/>
      <c r="C304" s="230"/>
      <c r="D304" s="230"/>
      <c r="E304" s="230"/>
      <c r="F304" s="230"/>
      <c r="G304" s="230"/>
      <c r="H304" s="229"/>
      <c r="I304" s="242"/>
      <c r="J304" s="243"/>
      <c r="K304" s="243"/>
      <c r="L304" s="243"/>
      <c r="M304" s="247"/>
      <c r="N304" s="243"/>
      <c r="O304" s="243"/>
      <c r="P304" s="243"/>
      <c r="Q304" s="243"/>
      <c r="R304" s="243"/>
      <c r="S304" s="243"/>
      <c r="T304" s="243"/>
      <c r="U304" s="182" t="s">
        <v>528</v>
      </c>
      <c r="V304" s="191"/>
      <c r="W304" s="191"/>
      <c r="X304" s="164" t="s">
        <v>2</v>
      </c>
      <c r="Y304" s="161">
        <v>10</v>
      </c>
      <c r="Z304" s="183"/>
      <c r="AA304" s="214"/>
      <c r="AB304" s="216"/>
      <c r="AC304" s="161"/>
      <c r="AD304" s="243"/>
      <c r="AE304" s="228"/>
      <c r="AF304" s="155"/>
      <c r="AG304" s="153"/>
      <c r="AH304" s="153"/>
      <c r="AI304" s="153"/>
      <c r="AJ304" s="153"/>
    </row>
    <row r="305" spans="1:36" s="19" customFormat="1" ht="23.25" customHeight="1">
      <c r="A305" s="230"/>
      <c r="B305" s="235"/>
      <c r="C305" s="230"/>
      <c r="D305" s="230"/>
      <c r="E305" s="230"/>
      <c r="F305" s="230"/>
      <c r="G305" s="230"/>
      <c r="H305" s="229"/>
      <c r="I305" s="242"/>
      <c r="J305" s="243"/>
      <c r="K305" s="243"/>
      <c r="L305" s="243"/>
      <c r="M305" s="247"/>
      <c r="N305" s="243"/>
      <c r="O305" s="243"/>
      <c r="P305" s="243"/>
      <c r="Q305" s="243"/>
      <c r="R305" s="243"/>
      <c r="S305" s="243"/>
      <c r="T305" s="243"/>
      <c r="U305" s="186" t="s">
        <v>486</v>
      </c>
      <c r="V305" s="191"/>
      <c r="W305" s="191"/>
      <c r="X305" s="164" t="s">
        <v>2</v>
      </c>
      <c r="Y305" s="161">
        <v>10</v>
      </c>
      <c r="Z305" s="183">
        <v>500000</v>
      </c>
      <c r="AA305" s="214"/>
      <c r="AB305" s="216">
        <v>0</v>
      </c>
      <c r="AC305" s="161">
        <f t="shared" ref="AC305" si="47">Y305*Z305*AB305</f>
        <v>0</v>
      </c>
      <c r="AD305" s="243"/>
      <c r="AE305" s="228"/>
      <c r="AF305" s="155"/>
      <c r="AG305" s="153"/>
      <c r="AH305" s="153"/>
      <c r="AI305" s="153"/>
      <c r="AJ305" s="153"/>
    </row>
    <row r="306" spans="1:36" s="19" customFormat="1" ht="37.5" customHeight="1">
      <c r="A306" s="230"/>
      <c r="B306" s="235"/>
      <c r="C306" s="230"/>
      <c r="D306" s="230"/>
      <c r="E306" s="230"/>
      <c r="F306" s="230"/>
      <c r="G306" s="230"/>
      <c r="H306" s="229"/>
      <c r="I306" s="242"/>
      <c r="J306" s="243"/>
      <c r="K306" s="243"/>
      <c r="L306" s="243"/>
      <c r="M306" s="247"/>
      <c r="N306" s="243"/>
      <c r="O306" s="243"/>
      <c r="P306" s="243"/>
      <c r="Q306" s="243"/>
      <c r="R306" s="243"/>
      <c r="S306" s="243"/>
      <c r="T306" s="243"/>
      <c r="U306" s="182" t="s">
        <v>529</v>
      </c>
      <c r="V306" s="191"/>
      <c r="W306" s="191"/>
      <c r="X306" s="164" t="s">
        <v>2</v>
      </c>
      <c r="Y306" s="161">
        <v>10</v>
      </c>
      <c r="Z306" s="183"/>
      <c r="AA306" s="209"/>
      <c r="AB306" s="197"/>
      <c r="AC306" s="161"/>
      <c r="AD306" s="243"/>
      <c r="AE306" s="228"/>
      <c r="AF306" s="155"/>
      <c r="AG306" s="153"/>
      <c r="AH306" s="153"/>
      <c r="AI306" s="153"/>
      <c r="AJ306" s="153"/>
    </row>
    <row r="307" spans="1:36" s="19" customFormat="1" ht="23.25" customHeight="1">
      <c r="A307" s="230"/>
      <c r="B307" s="235"/>
      <c r="C307" s="230"/>
      <c r="D307" s="230"/>
      <c r="E307" s="230"/>
      <c r="F307" s="230"/>
      <c r="G307" s="230"/>
      <c r="H307" s="229"/>
      <c r="I307" s="242"/>
      <c r="J307" s="243"/>
      <c r="K307" s="243"/>
      <c r="L307" s="243"/>
      <c r="M307" s="247"/>
      <c r="N307" s="243"/>
      <c r="O307" s="243"/>
      <c r="P307" s="243"/>
      <c r="Q307" s="243"/>
      <c r="R307" s="243"/>
      <c r="S307" s="243"/>
      <c r="T307" s="243"/>
      <c r="U307" s="186" t="s">
        <v>486</v>
      </c>
      <c r="V307" s="191"/>
      <c r="W307" s="191"/>
      <c r="X307" s="164" t="s">
        <v>2</v>
      </c>
      <c r="Y307" s="161">
        <v>100</v>
      </c>
      <c r="Z307" s="183">
        <v>190000</v>
      </c>
      <c r="AA307" s="214"/>
      <c r="AB307" s="216">
        <v>0</v>
      </c>
      <c r="AC307" s="161">
        <f t="shared" ref="AC307" si="48">Y307*Z307*AB307</f>
        <v>0</v>
      </c>
      <c r="AD307" s="243"/>
      <c r="AE307" s="228"/>
      <c r="AF307" s="155"/>
      <c r="AG307" s="153"/>
      <c r="AH307" s="153"/>
      <c r="AI307" s="153"/>
      <c r="AJ307" s="153"/>
    </row>
    <row r="308" spans="1:36" s="19" customFormat="1" ht="53.25" customHeight="1">
      <c r="A308" s="230"/>
      <c r="B308" s="235"/>
      <c r="C308" s="230"/>
      <c r="D308" s="230"/>
      <c r="E308" s="230"/>
      <c r="F308" s="230"/>
      <c r="G308" s="230"/>
      <c r="H308" s="229"/>
      <c r="I308" s="242"/>
      <c r="J308" s="243"/>
      <c r="K308" s="243"/>
      <c r="L308" s="243"/>
      <c r="M308" s="247"/>
      <c r="N308" s="243"/>
      <c r="O308" s="243"/>
      <c r="P308" s="243"/>
      <c r="Q308" s="243"/>
      <c r="R308" s="243"/>
      <c r="S308" s="243"/>
      <c r="T308" s="243"/>
      <c r="U308" s="190" t="s">
        <v>470</v>
      </c>
      <c r="V308" s="191"/>
      <c r="W308" s="191"/>
      <c r="X308" s="164" t="s">
        <v>6</v>
      </c>
      <c r="Y308" s="192">
        <v>181.5</v>
      </c>
      <c r="Z308" s="183"/>
      <c r="AA308" s="214"/>
      <c r="AB308" s="216"/>
      <c r="AC308" s="161"/>
      <c r="AD308" s="243"/>
      <c r="AE308" s="228"/>
      <c r="AF308" s="155"/>
      <c r="AG308" s="153"/>
      <c r="AH308" s="153"/>
      <c r="AI308" s="153"/>
      <c r="AJ308" s="153"/>
    </row>
    <row r="309" spans="1:36" s="19" customFormat="1" ht="36.75" customHeight="1">
      <c r="A309" s="230"/>
      <c r="B309" s="235"/>
      <c r="C309" s="230"/>
      <c r="D309" s="230"/>
      <c r="E309" s="230"/>
      <c r="F309" s="230"/>
      <c r="G309" s="230"/>
      <c r="H309" s="229"/>
      <c r="I309" s="242"/>
      <c r="J309" s="243"/>
      <c r="K309" s="243"/>
      <c r="L309" s="243"/>
      <c r="M309" s="247"/>
      <c r="N309" s="243"/>
      <c r="O309" s="243"/>
      <c r="P309" s="243"/>
      <c r="Q309" s="243"/>
      <c r="R309" s="243"/>
      <c r="S309" s="243"/>
      <c r="T309" s="243"/>
      <c r="U309" s="173" t="s">
        <v>508</v>
      </c>
      <c r="V309" s="191"/>
      <c r="W309" s="191"/>
      <c r="X309" s="164" t="s">
        <v>6</v>
      </c>
      <c r="Y309" s="192">
        <v>6</v>
      </c>
      <c r="Z309" s="183"/>
      <c r="AA309" s="214"/>
      <c r="AB309" s="216"/>
      <c r="AC309" s="161"/>
      <c r="AD309" s="243"/>
      <c r="AE309" s="228"/>
      <c r="AF309" s="155"/>
      <c r="AG309" s="153"/>
      <c r="AH309" s="153"/>
      <c r="AI309" s="153"/>
      <c r="AJ309" s="153"/>
    </row>
    <row r="310" spans="1:36" s="19" customFormat="1" ht="23.25" customHeight="1">
      <c r="A310" s="230"/>
      <c r="B310" s="235"/>
      <c r="C310" s="230"/>
      <c r="D310" s="230"/>
      <c r="E310" s="230"/>
      <c r="F310" s="230"/>
      <c r="G310" s="230"/>
      <c r="H310" s="229"/>
      <c r="I310" s="242"/>
      <c r="J310" s="243"/>
      <c r="K310" s="243"/>
      <c r="L310" s="243"/>
      <c r="M310" s="247"/>
      <c r="N310" s="243"/>
      <c r="O310" s="243"/>
      <c r="P310" s="243"/>
      <c r="Q310" s="243"/>
      <c r="R310" s="243"/>
      <c r="S310" s="243"/>
      <c r="T310" s="243"/>
      <c r="U310" s="173" t="s">
        <v>484</v>
      </c>
      <c r="V310" s="191"/>
      <c r="W310" s="191"/>
      <c r="X310" s="164" t="s">
        <v>399</v>
      </c>
      <c r="Y310" s="192">
        <v>1</v>
      </c>
      <c r="Z310" s="183"/>
      <c r="AA310" s="214"/>
      <c r="AB310" s="216"/>
      <c r="AC310" s="161"/>
      <c r="AD310" s="243"/>
      <c r="AE310" s="228"/>
      <c r="AF310" s="155"/>
      <c r="AG310" s="153"/>
      <c r="AH310" s="153"/>
      <c r="AI310" s="153"/>
      <c r="AJ310" s="153"/>
    </row>
    <row r="311" spans="1:36" s="16" customFormat="1" ht="32.25" customHeight="1">
      <c r="A311" s="230">
        <v>41</v>
      </c>
      <c r="B311" s="235" t="s">
        <v>530</v>
      </c>
      <c r="C311" s="235" t="s">
        <v>412</v>
      </c>
      <c r="D311" s="238">
        <v>64</v>
      </c>
      <c r="E311" s="238">
        <v>484</v>
      </c>
      <c r="F311" s="238">
        <v>431.9</v>
      </c>
      <c r="G311" s="238" t="s">
        <v>28</v>
      </c>
      <c r="H311" s="243">
        <v>432</v>
      </c>
      <c r="I311" s="247">
        <f>F311-H311</f>
        <v>-0.10000000000002274</v>
      </c>
      <c r="J311" s="243">
        <v>432</v>
      </c>
      <c r="K311" s="243">
        <v>1872</v>
      </c>
      <c r="L311" s="243">
        <v>450</v>
      </c>
      <c r="M311" s="244">
        <f>J311/K311*100</f>
        <v>23.076923076923077</v>
      </c>
      <c r="N311" s="243">
        <v>5</v>
      </c>
      <c r="O311" s="243">
        <v>4</v>
      </c>
      <c r="P311" s="243">
        <v>80000</v>
      </c>
      <c r="Q311" s="243">
        <f>P311*J311</f>
        <v>34560000</v>
      </c>
      <c r="R311" s="243">
        <f>Q311*3</f>
        <v>103680000</v>
      </c>
      <c r="S311" s="243">
        <f>N311*O311*S6</f>
        <v>10200000</v>
      </c>
      <c r="T311" s="243">
        <f>SUM(Q311:S316)</f>
        <v>148440000</v>
      </c>
      <c r="U311" s="182" t="s">
        <v>457</v>
      </c>
      <c r="V311" s="191">
        <v>25</v>
      </c>
      <c r="W311" s="191">
        <f>(J311-Y316)/V311</f>
        <v>16.68</v>
      </c>
      <c r="X311" s="164" t="s">
        <v>2</v>
      </c>
      <c r="Y311" s="161">
        <v>8</v>
      </c>
      <c r="Z311" s="183"/>
      <c r="AA311" s="214"/>
      <c r="AB311" s="216"/>
      <c r="AC311" s="161"/>
      <c r="AD311" s="243">
        <f>SUM(AC311:AC316)</f>
        <v>74500000</v>
      </c>
      <c r="AE311" s="228">
        <f>T311+AD311</f>
        <v>222940000</v>
      </c>
      <c r="AF311" s="155" t="s">
        <v>569</v>
      </c>
      <c r="AG311" s="213"/>
      <c r="AH311" s="214"/>
      <c r="AI311" s="214"/>
      <c r="AJ311" s="214"/>
    </row>
    <row r="312" spans="1:36" s="16" customFormat="1" ht="23.25" customHeight="1">
      <c r="A312" s="230"/>
      <c r="B312" s="235"/>
      <c r="C312" s="235"/>
      <c r="D312" s="238"/>
      <c r="E312" s="238"/>
      <c r="F312" s="238"/>
      <c r="G312" s="238"/>
      <c r="H312" s="243"/>
      <c r="I312" s="247"/>
      <c r="J312" s="243"/>
      <c r="K312" s="243"/>
      <c r="L312" s="243"/>
      <c r="M312" s="244"/>
      <c r="N312" s="243"/>
      <c r="O312" s="243"/>
      <c r="P312" s="243"/>
      <c r="Q312" s="243"/>
      <c r="R312" s="243"/>
      <c r="S312" s="243"/>
      <c r="T312" s="243"/>
      <c r="U312" s="186" t="s">
        <v>421</v>
      </c>
      <c r="V312" s="191"/>
      <c r="W312" s="191"/>
      <c r="X312" s="164" t="s">
        <v>2</v>
      </c>
      <c r="Y312" s="161">
        <v>8</v>
      </c>
      <c r="Z312" s="183">
        <v>4500000</v>
      </c>
      <c r="AA312" s="214"/>
      <c r="AB312" s="216">
        <v>1</v>
      </c>
      <c r="AC312" s="161">
        <f>Y312*Z312*AB312</f>
        <v>36000000</v>
      </c>
      <c r="AD312" s="243"/>
      <c r="AE312" s="228"/>
      <c r="AF312" s="155"/>
      <c r="AG312" s="213"/>
      <c r="AH312" s="214"/>
      <c r="AI312" s="214"/>
      <c r="AJ312" s="214"/>
    </row>
    <row r="313" spans="1:36" s="16" customFormat="1" ht="37.5" customHeight="1">
      <c r="A313" s="230"/>
      <c r="B313" s="235"/>
      <c r="C313" s="235"/>
      <c r="D313" s="238"/>
      <c r="E313" s="238"/>
      <c r="F313" s="238"/>
      <c r="G313" s="238"/>
      <c r="H313" s="243"/>
      <c r="I313" s="247"/>
      <c r="J313" s="243"/>
      <c r="K313" s="243"/>
      <c r="L313" s="243"/>
      <c r="M313" s="244"/>
      <c r="N313" s="243"/>
      <c r="O313" s="243"/>
      <c r="P313" s="243"/>
      <c r="Q313" s="243"/>
      <c r="R313" s="243"/>
      <c r="S313" s="243"/>
      <c r="T313" s="243"/>
      <c r="U313" s="210" t="s">
        <v>453</v>
      </c>
      <c r="V313" s="191"/>
      <c r="W313" s="191"/>
      <c r="X313" s="164" t="s">
        <v>2</v>
      </c>
      <c r="Y313" s="215">
        <v>11</v>
      </c>
      <c r="Z313" s="183"/>
      <c r="AA313" s="209"/>
      <c r="AB313" s="197"/>
      <c r="AC313" s="161"/>
      <c r="AD313" s="243"/>
      <c r="AE313" s="228"/>
      <c r="AF313" s="155"/>
      <c r="AG313" s="213"/>
      <c r="AH313" s="214"/>
      <c r="AI313" s="214"/>
      <c r="AJ313" s="214"/>
    </row>
    <row r="314" spans="1:36" s="16" customFormat="1" ht="23.25" customHeight="1">
      <c r="A314" s="230"/>
      <c r="B314" s="235"/>
      <c r="C314" s="235"/>
      <c r="D314" s="238"/>
      <c r="E314" s="238"/>
      <c r="F314" s="238"/>
      <c r="G314" s="238"/>
      <c r="H314" s="243"/>
      <c r="I314" s="247"/>
      <c r="J314" s="243"/>
      <c r="K314" s="243"/>
      <c r="L314" s="243"/>
      <c r="M314" s="244"/>
      <c r="N314" s="243"/>
      <c r="O314" s="243"/>
      <c r="P314" s="243"/>
      <c r="Q314" s="243"/>
      <c r="R314" s="243"/>
      <c r="S314" s="243"/>
      <c r="T314" s="243"/>
      <c r="U314" s="186" t="s">
        <v>421</v>
      </c>
      <c r="V314" s="191"/>
      <c r="W314" s="191"/>
      <c r="X314" s="164" t="s">
        <v>2</v>
      </c>
      <c r="Y314" s="215">
        <v>9</v>
      </c>
      <c r="Z314" s="183">
        <v>3850000</v>
      </c>
      <c r="AA314" s="209"/>
      <c r="AB314" s="197">
        <v>1</v>
      </c>
      <c r="AC314" s="161">
        <f t="shared" ref="AC314:AC315" si="49">Y314*Z314*AB314</f>
        <v>34650000</v>
      </c>
      <c r="AD314" s="243"/>
      <c r="AE314" s="228"/>
      <c r="AF314" s="155"/>
      <c r="AG314" s="213"/>
      <c r="AH314" s="214"/>
      <c r="AI314" s="214"/>
      <c r="AJ314" s="214"/>
    </row>
    <row r="315" spans="1:36" s="16" customFormat="1" ht="23.25" customHeight="1">
      <c r="A315" s="230"/>
      <c r="B315" s="235"/>
      <c r="C315" s="235"/>
      <c r="D315" s="238"/>
      <c r="E315" s="238"/>
      <c r="F315" s="238"/>
      <c r="G315" s="238"/>
      <c r="H315" s="243"/>
      <c r="I315" s="247"/>
      <c r="J315" s="243"/>
      <c r="K315" s="243"/>
      <c r="L315" s="243"/>
      <c r="M315" s="244"/>
      <c r="N315" s="243"/>
      <c r="O315" s="243"/>
      <c r="P315" s="243"/>
      <c r="Q315" s="243"/>
      <c r="R315" s="243"/>
      <c r="S315" s="243"/>
      <c r="T315" s="243"/>
      <c r="U315" s="186" t="s">
        <v>423</v>
      </c>
      <c r="V315" s="191"/>
      <c r="W315" s="191">
        <f>0.3*W311</f>
        <v>5.0039999999999996</v>
      </c>
      <c r="X315" s="164" t="s">
        <v>2</v>
      </c>
      <c r="Y315" s="161">
        <v>2</v>
      </c>
      <c r="Z315" s="183">
        <v>3850000</v>
      </c>
      <c r="AA315" s="214"/>
      <c r="AB315" s="216">
        <v>0.5</v>
      </c>
      <c r="AC315" s="161">
        <f t="shared" si="49"/>
        <v>3850000</v>
      </c>
      <c r="AD315" s="243"/>
      <c r="AE315" s="228"/>
      <c r="AF315" s="155"/>
      <c r="AG315" s="213"/>
      <c r="AH315" s="214"/>
      <c r="AI315" s="214"/>
      <c r="AJ315" s="214"/>
    </row>
    <row r="316" spans="1:36" s="16" customFormat="1" ht="23.25" customHeight="1">
      <c r="A316" s="230"/>
      <c r="B316" s="235"/>
      <c r="C316" s="235"/>
      <c r="D316" s="238"/>
      <c r="E316" s="238"/>
      <c r="F316" s="238"/>
      <c r="G316" s="238"/>
      <c r="H316" s="243"/>
      <c r="I316" s="247"/>
      <c r="J316" s="243"/>
      <c r="K316" s="243"/>
      <c r="L316" s="243"/>
      <c r="M316" s="244"/>
      <c r="N316" s="243"/>
      <c r="O316" s="243"/>
      <c r="P316" s="243"/>
      <c r="Q316" s="243"/>
      <c r="R316" s="243"/>
      <c r="S316" s="243"/>
      <c r="T316" s="243"/>
      <c r="U316" s="190" t="s">
        <v>505</v>
      </c>
      <c r="V316" s="191"/>
      <c r="W316" s="191"/>
      <c r="X316" s="164" t="s">
        <v>0</v>
      </c>
      <c r="Y316" s="192">
        <v>15</v>
      </c>
      <c r="Z316" s="211"/>
      <c r="AA316" s="209"/>
      <c r="AB316" s="164"/>
      <c r="AC316" s="161"/>
      <c r="AD316" s="243"/>
      <c r="AE316" s="228"/>
      <c r="AF316" s="155"/>
      <c r="AG316" s="213"/>
      <c r="AH316" s="214"/>
      <c r="AI316" s="214"/>
      <c r="AJ316" s="214"/>
    </row>
    <row r="317" spans="1:36" s="20" customFormat="1" ht="30.75" customHeight="1">
      <c r="A317" s="230">
        <v>42</v>
      </c>
      <c r="B317" s="235" t="s">
        <v>531</v>
      </c>
      <c r="C317" s="235" t="s">
        <v>412</v>
      </c>
      <c r="D317" s="238">
        <v>64</v>
      </c>
      <c r="E317" s="238">
        <v>598</v>
      </c>
      <c r="F317" s="238">
        <v>356.8</v>
      </c>
      <c r="G317" s="238" t="s">
        <v>28</v>
      </c>
      <c r="H317" s="243">
        <v>360</v>
      </c>
      <c r="I317" s="247">
        <f>F317-H317</f>
        <v>-3.1999999999999886</v>
      </c>
      <c r="J317" s="243">
        <v>360</v>
      </c>
      <c r="K317" s="243">
        <v>360</v>
      </c>
      <c r="L317" s="243">
        <v>450</v>
      </c>
      <c r="M317" s="244">
        <f>J317/K317*100</f>
        <v>100</v>
      </c>
      <c r="N317" s="243">
        <v>12</v>
      </c>
      <c r="O317" s="243">
        <v>2</v>
      </c>
      <c r="P317" s="243">
        <v>80000</v>
      </c>
      <c r="Q317" s="243">
        <f>P317*J317</f>
        <v>28800000</v>
      </c>
      <c r="R317" s="243">
        <f>Q317*3</f>
        <v>86400000</v>
      </c>
      <c r="S317" s="243">
        <f>N317*O317*S6</f>
        <v>12240000</v>
      </c>
      <c r="T317" s="243">
        <f>SUM(Q317:S327)</f>
        <v>127440000</v>
      </c>
      <c r="U317" s="182" t="s">
        <v>457</v>
      </c>
      <c r="V317" s="191">
        <v>25</v>
      </c>
      <c r="W317" s="191">
        <f>(J317-Y325)/V317</f>
        <v>14.175999999999998</v>
      </c>
      <c r="X317" s="164" t="s">
        <v>2</v>
      </c>
      <c r="Y317" s="161">
        <v>10</v>
      </c>
      <c r="Z317" s="183"/>
      <c r="AA317" s="214"/>
      <c r="AB317" s="216"/>
      <c r="AC317" s="161"/>
      <c r="AD317" s="243">
        <f>SUM(AC317:AC327)</f>
        <v>50050000</v>
      </c>
      <c r="AE317" s="228">
        <f>T317+AD317</f>
        <v>177490000</v>
      </c>
      <c r="AF317" s="155" t="s">
        <v>452</v>
      </c>
      <c r="AG317" s="155"/>
      <c r="AH317" s="155"/>
      <c r="AI317" s="155"/>
      <c r="AJ317" s="155"/>
    </row>
    <row r="318" spans="1:36" s="20" customFormat="1" ht="22.5" customHeight="1">
      <c r="A318" s="230"/>
      <c r="B318" s="235"/>
      <c r="C318" s="235"/>
      <c r="D318" s="238"/>
      <c r="E318" s="238"/>
      <c r="F318" s="238"/>
      <c r="G318" s="238"/>
      <c r="H318" s="243"/>
      <c r="I318" s="247"/>
      <c r="J318" s="243"/>
      <c r="K318" s="243"/>
      <c r="L318" s="243"/>
      <c r="M318" s="244"/>
      <c r="N318" s="243"/>
      <c r="O318" s="243"/>
      <c r="P318" s="243"/>
      <c r="Q318" s="243"/>
      <c r="R318" s="243"/>
      <c r="S318" s="243"/>
      <c r="T318" s="243"/>
      <c r="U318" s="186" t="s">
        <v>421</v>
      </c>
      <c r="V318" s="191"/>
      <c r="W318" s="191"/>
      <c r="X318" s="164" t="s">
        <v>2</v>
      </c>
      <c r="Y318" s="161">
        <v>10</v>
      </c>
      <c r="Z318" s="183">
        <v>4500000</v>
      </c>
      <c r="AA318" s="214"/>
      <c r="AB318" s="216">
        <v>1</v>
      </c>
      <c r="AC318" s="161">
        <f>Y318*Z318*AB318</f>
        <v>45000000</v>
      </c>
      <c r="AD318" s="243"/>
      <c r="AE318" s="228"/>
      <c r="AF318" s="155"/>
      <c r="AG318" s="155"/>
      <c r="AH318" s="155"/>
      <c r="AI318" s="155"/>
      <c r="AJ318" s="155"/>
    </row>
    <row r="319" spans="1:36" s="20" customFormat="1" ht="31.5">
      <c r="A319" s="230"/>
      <c r="B319" s="235"/>
      <c r="C319" s="235"/>
      <c r="D319" s="238"/>
      <c r="E319" s="238"/>
      <c r="F319" s="238"/>
      <c r="G319" s="238"/>
      <c r="H319" s="243"/>
      <c r="I319" s="247"/>
      <c r="J319" s="243"/>
      <c r="K319" s="243"/>
      <c r="L319" s="243"/>
      <c r="M319" s="244"/>
      <c r="N319" s="243"/>
      <c r="O319" s="243"/>
      <c r="P319" s="243"/>
      <c r="Q319" s="243"/>
      <c r="R319" s="243"/>
      <c r="S319" s="243"/>
      <c r="T319" s="243"/>
      <c r="U319" s="182" t="s">
        <v>527</v>
      </c>
      <c r="V319" s="191">
        <v>25</v>
      </c>
      <c r="W319" s="191">
        <f>(J317-Y325)/V319</f>
        <v>14.175999999999998</v>
      </c>
      <c r="X319" s="164" t="s">
        <v>2</v>
      </c>
      <c r="Y319" s="161">
        <v>8</v>
      </c>
      <c r="Z319" s="183"/>
      <c r="AA319" s="209"/>
      <c r="AB319" s="197"/>
      <c r="AC319" s="161"/>
      <c r="AD319" s="243"/>
      <c r="AE319" s="228"/>
      <c r="AF319" s="155"/>
      <c r="AG319" s="155"/>
      <c r="AH319" s="155"/>
      <c r="AI319" s="155"/>
      <c r="AJ319" s="155"/>
    </row>
    <row r="320" spans="1:36" s="20" customFormat="1" ht="21.75" customHeight="1">
      <c r="A320" s="230"/>
      <c r="B320" s="235"/>
      <c r="C320" s="235"/>
      <c r="D320" s="238"/>
      <c r="E320" s="238"/>
      <c r="F320" s="238"/>
      <c r="G320" s="238"/>
      <c r="H320" s="243"/>
      <c r="I320" s="247"/>
      <c r="J320" s="243"/>
      <c r="K320" s="243"/>
      <c r="L320" s="243"/>
      <c r="M320" s="244"/>
      <c r="N320" s="243"/>
      <c r="O320" s="243"/>
      <c r="P320" s="243"/>
      <c r="Q320" s="243"/>
      <c r="R320" s="243"/>
      <c r="S320" s="243"/>
      <c r="T320" s="243"/>
      <c r="U320" s="186" t="s">
        <v>421</v>
      </c>
      <c r="V320" s="191"/>
      <c r="W320" s="191"/>
      <c r="X320" s="164" t="s">
        <v>2</v>
      </c>
      <c r="Y320" s="161">
        <v>8</v>
      </c>
      <c r="Z320" s="183">
        <v>1000000</v>
      </c>
      <c r="AA320" s="214"/>
      <c r="AB320" s="216">
        <v>0.5</v>
      </c>
      <c r="AC320" s="161">
        <f t="shared" ref="AC320" si="50">Y320*Z320*AB320</f>
        <v>4000000</v>
      </c>
      <c r="AD320" s="243"/>
      <c r="AE320" s="228"/>
      <c r="AF320" s="155"/>
      <c r="AG320" s="155"/>
      <c r="AH320" s="155"/>
      <c r="AI320" s="155"/>
      <c r="AJ320" s="155"/>
    </row>
    <row r="321" spans="1:36" s="20" customFormat="1" ht="35.25" customHeight="1">
      <c r="A321" s="230"/>
      <c r="B321" s="235"/>
      <c r="C321" s="235"/>
      <c r="D321" s="238"/>
      <c r="E321" s="238"/>
      <c r="F321" s="238"/>
      <c r="G321" s="238"/>
      <c r="H321" s="243"/>
      <c r="I321" s="247"/>
      <c r="J321" s="243"/>
      <c r="K321" s="243"/>
      <c r="L321" s="243"/>
      <c r="M321" s="244"/>
      <c r="N321" s="243"/>
      <c r="O321" s="243"/>
      <c r="P321" s="243"/>
      <c r="Q321" s="243"/>
      <c r="R321" s="243"/>
      <c r="S321" s="243"/>
      <c r="T321" s="243"/>
      <c r="U321" s="182" t="s">
        <v>533</v>
      </c>
      <c r="V321" s="191">
        <v>10</v>
      </c>
      <c r="W321" s="191">
        <f>(J317-Y325)/V321</f>
        <v>35.44</v>
      </c>
      <c r="X321" s="164" t="s">
        <v>2</v>
      </c>
      <c r="Y321" s="161">
        <v>2</v>
      </c>
      <c r="Z321" s="183"/>
      <c r="AA321" s="214"/>
      <c r="AB321" s="216"/>
      <c r="AC321" s="161"/>
      <c r="AD321" s="243"/>
      <c r="AE321" s="228"/>
      <c r="AF321" s="155"/>
      <c r="AG321" s="155"/>
      <c r="AH321" s="155"/>
      <c r="AI321" s="155"/>
      <c r="AJ321" s="155"/>
    </row>
    <row r="322" spans="1:36" s="20" customFormat="1" ht="23.25" customHeight="1">
      <c r="A322" s="230"/>
      <c r="B322" s="235"/>
      <c r="C322" s="235"/>
      <c r="D322" s="238"/>
      <c r="E322" s="238"/>
      <c r="F322" s="238"/>
      <c r="G322" s="238"/>
      <c r="H322" s="243"/>
      <c r="I322" s="247"/>
      <c r="J322" s="243"/>
      <c r="K322" s="243"/>
      <c r="L322" s="243"/>
      <c r="M322" s="244"/>
      <c r="N322" s="243"/>
      <c r="O322" s="243"/>
      <c r="P322" s="243"/>
      <c r="Q322" s="243"/>
      <c r="R322" s="243"/>
      <c r="S322" s="243"/>
      <c r="T322" s="243"/>
      <c r="U322" s="186" t="s">
        <v>421</v>
      </c>
      <c r="V322" s="191"/>
      <c r="W322" s="191"/>
      <c r="X322" s="164" t="s">
        <v>2</v>
      </c>
      <c r="Y322" s="161">
        <v>2</v>
      </c>
      <c r="Z322" s="183">
        <v>200000</v>
      </c>
      <c r="AA322" s="214"/>
      <c r="AB322" s="216">
        <v>0.5</v>
      </c>
      <c r="AC322" s="161">
        <f t="shared" ref="AC322" si="51">Y322*Z322*AB322</f>
        <v>200000</v>
      </c>
      <c r="AD322" s="243"/>
      <c r="AE322" s="228"/>
      <c r="AF322" s="155"/>
      <c r="AG322" s="155"/>
      <c r="AH322" s="155"/>
      <c r="AI322" s="155"/>
      <c r="AJ322" s="155"/>
    </row>
    <row r="323" spans="1:36" s="20" customFormat="1" ht="31.5">
      <c r="A323" s="230"/>
      <c r="B323" s="235"/>
      <c r="C323" s="235"/>
      <c r="D323" s="238"/>
      <c r="E323" s="238"/>
      <c r="F323" s="238"/>
      <c r="G323" s="238"/>
      <c r="H323" s="243"/>
      <c r="I323" s="247"/>
      <c r="J323" s="243"/>
      <c r="K323" s="243"/>
      <c r="L323" s="243"/>
      <c r="M323" s="244"/>
      <c r="N323" s="243"/>
      <c r="O323" s="243"/>
      <c r="P323" s="243"/>
      <c r="Q323" s="243"/>
      <c r="R323" s="243"/>
      <c r="S323" s="243"/>
      <c r="T323" s="243"/>
      <c r="U323" s="182" t="s">
        <v>534</v>
      </c>
      <c r="V323" s="191">
        <v>28.57</v>
      </c>
      <c r="W323" s="191">
        <f>(J317-Y325)/V323</f>
        <v>12.404620231011549</v>
      </c>
      <c r="X323" s="164" t="s">
        <v>2</v>
      </c>
      <c r="Y323" s="161">
        <v>2</v>
      </c>
      <c r="Z323" s="183"/>
      <c r="AA323" s="209"/>
      <c r="AB323" s="197"/>
      <c r="AC323" s="161"/>
      <c r="AD323" s="243"/>
      <c r="AE323" s="228"/>
      <c r="AF323" s="155"/>
      <c r="AG323" s="155"/>
      <c r="AH323" s="155"/>
      <c r="AI323" s="155"/>
      <c r="AJ323" s="155"/>
    </row>
    <row r="324" spans="1:36" s="20" customFormat="1" ht="21" customHeight="1">
      <c r="A324" s="230"/>
      <c r="B324" s="235"/>
      <c r="C324" s="235"/>
      <c r="D324" s="238"/>
      <c r="E324" s="238"/>
      <c r="F324" s="238"/>
      <c r="G324" s="238"/>
      <c r="H324" s="243"/>
      <c r="I324" s="247"/>
      <c r="J324" s="243"/>
      <c r="K324" s="243"/>
      <c r="L324" s="243"/>
      <c r="M324" s="244"/>
      <c r="N324" s="243"/>
      <c r="O324" s="243"/>
      <c r="P324" s="243"/>
      <c r="Q324" s="243"/>
      <c r="R324" s="243"/>
      <c r="S324" s="243"/>
      <c r="T324" s="243"/>
      <c r="U324" s="186" t="s">
        <v>421</v>
      </c>
      <c r="V324" s="191"/>
      <c r="W324" s="191"/>
      <c r="X324" s="164" t="s">
        <v>2</v>
      </c>
      <c r="Y324" s="161">
        <v>2</v>
      </c>
      <c r="Z324" s="183">
        <v>850000</v>
      </c>
      <c r="AA324" s="214"/>
      <c r="AB324" s="216">
        <v>0.5</v>
      </c>
      <c r="AC324" s="161">
        <f t="shared" ref="AC324" si="52">Y324*Z324*AB324</f>
        <v>850000</v>
      </c>
      <c r="AD324" s="243"/>
      <c r="AE324" s="228"/>
      <c r="AF324" s="155"/>
      <c r="AG324" s="155"/>
      <c r="AH324" s="155"/>
      <c r="AI324" s="155"/>
      <c r="AJ324" s="155"/>
    </row>
    <row r="325" spans="1:36" s="20" customFormat="1" ht="21" customHeight="1">
      <c r="A325" s="230"/>
      <c r="B325" s="235"/>
      <c r="C325" s="235"/>
      <c r="D325" s="238"/>
      <c r="E325" s="238"/>
      <c r="F325" s="238"/>
      <c r="G325" s="238"/>
      <c r="H325" s="243"/>
      <c r="I325" s="247"/>
      <c r="J325" s="243"/>
      <c r="K325" s="243"/>
      <c r="L325" s="243"/>
      <c r="M325" s="244"/>
      <c r="N325" s="243"/>
      <c r="O325" s="243"/>
      <c r="P325" s="243"/>
      <c r="Q325" s="243"/>
      <c r="R325" s="243"/>
      <c r="S325" s="243"/>
      <c r="T325" s="243"/>
      <c r="U325" s="190" t="s">
        <v>535</v>
      </c>
      <c r="V325" s="191"/>
      <c r="W325" s="191"/>
      <c r="X325" s="164" t="s">
        <v>0</v>
      </c>
      <c r="Y325" s="192">
        <v>5.6</v>
      </c>
      <c r="Z325" s="183"/>
      <c r="AA325" s="214"/>
      <c r="AB325" s="216"/>
      <c r="AC325" s="161"/>
      <c r="AD325" s="243"/>
      <c r="AE325" s="228"/>
      <c r="AF325" s="155"/>
      <c r="AG325" s="155"/>
      <c r="AH325" s="155"/>
      <c r="AI325" s="155"/>
      <c r="AJ325" s="155"/>
    </row>
    <row r="326" spans="1:36" s="20" customFormat="1" ht="49.5" customHeight="1">
      <c r="A326" s="230"/>
      <c r="B326" s="235"/>
      <c r="C326" s="235"/>
      <c r="D326" s="238"/>
      <c r="E326" s="238"/>
      <c r="F326" s="238"/>
      <c r="G326" s="238"/>
      <c r="H326" s="243"/>
      <c r="I326" s="247"/>
      <c r="J326" s="243"/>
      <c r="K326" s="243"/>
      <c r="L326" s="243"/>
      <c r="M326" s="244"/>
      <c r="N326" s="243"/>
      <c r="O326" s="243"/>
      <c r="P326" s="243"/>
      <c r="Q326" s="243"/>
      <c r="R326" s="243"/>
      <c r="S326" s="243"/>
      <c r="T326" s="243"/>
      <c r="U326" s="190" t="s">
        <v>536</v>
      </c>
      <c r="V326" s="191"/>
      <c r="W326" s="191"/>
      <c r="X326" s="164" t="s">
        <v>6</v>
      </c>
      <c r="Y326" s="161">
        <v>4.2</v>
      </c>
      <c r="Z326" s="183"/>
      <c r="AA326" s="214"/>
      <c r="AB326" s="216"/>
      <c r="AC326" s="161"/>
      <c r="AD326" s="243"/>
      <c r="AE326" s="228"/>
      <c r="AF326" s="155"/>
      <c r="AG326" s="155"/>
      <c r="AH326" s="155"/>
      <c r="AI326" s="155"/>
      <c r="AJ326" s="155"/>
    </row>
    <row r="327" spans="1:36" s="20" customFormat="1" ht="38.25" customHeight="1">
      <c r="A327" s="230"/>
      <c r="B327" s="235"/>
      <c r="C327" s="235"/>
      <c r="D327" s="238"/>
      <c r="E327" s="238"/>
      <c r="F327" s="238"/>
      <c r="G327" s="238"/>
      <c r="H327" s="243"/>
      <c r="I327" s="247"/>
      <c r="J327" s="243"/>
      <c r="K327" s="243"/>
      <c r="L327" s="243"/>
      <c r="M327" s="244"/>
      <c r="N327" s="243"/>
      <c r="O327" s="243"/>
      <c r="P327" s="243"/>
      <c r="Q327" s="243"/>
      <c r="R327" s="243"/>
      <c r="S327" s="243"/>
      <c r="T327" s="243"/>
      <c r="U327" s="173" t="s">
        <v>537</v>
      </c>
      <c r="V327" s="163"/>
      <c r="W327" s="163"/>
      <c r="X327" s="164" t="s">
        <v>6</v>
      </c>
      <c r="Y327" s="163">
        <v>11</v>
      </c>
      <c r="Z327" s="211"/>
      <c r="AA327" s="209"/>
      <c r="AB327" s="164"/>
      <c r="AC327" s="161"/>
      <c r="AD327" s="243"/>
      <c r="AE327" s="228"/>
      <c r="AF327" s="155"/>
      <c r="AG327" s="155"/>
      <c r="AH327" s="155"/>
      <c r="AI327" s="155"/>
      <c r="AJ327" s="155"/>
    </row>
    <row r="328" spans="1:36" ht="31.5" customHeight="1">
      <c r="A328" s="230">
        <v>43</v>
      </c>
      <c r="B328" s="235" t="s">
        <v>538</v>
      </c>
      <c r="C328" s="235" t="s">
        <v>412</v>
      </c>
      <c r="D328" s="238">
        <v>64</v>
      </c>
      <c r="E328" s="238">
        <v>604</v>
      </c>
      <c r="F328" s="238">
        <v>717.5</v>
      </c>
      <c r="G328" s="238" t="s">
        <v>28</v>
      </c>
      <c r="H328" s="243">
        <v>720</v>
      </c>
      <c r="I328" s="247">
        <f>F328-H328</f>
        <v>-2.5</v>
      </c>
      <c r="J328" s="243">
        <v>720</v>
      </c>
      <c r="K328" s="243">
        <v>720</v>
      </c>
      <c r="L328" s="243">
        <v>450</v>
      </c>
      <c r="M328" s="244">
        <f>J328/K328*100</f>
        <v>100</v>
      </c>
      <c r="N328" s="243">
        <v>12</v>
      </c>
      <c r="O328" s="243">
        <v>6</v>
      </c>
      <c r="P328" s="243">
        <v>80000</v>
      </c>
      <c r="Q328" s="243">
        <f>P328*J328</f>
        <v>57600000</v>
      </c>
      <c r="R328" s="243">
        <f>Q328*3</f>
        <v>172800000</v>
      </c>
      <c r="S328" s="243">
        <f>N328*O328*S6</f>
        <v>36720000</v>
      </c>
      <c r="T328" s="243">
        <f>SUM(Q328:S335)</f>
        <v>267120000</v>
      </c>
      <c r="U328" s="182" t="s">
        <v>420</v>
      </c>
      <c r="V328" s="191">
        <v>20</v>
      </c>
      <c r="W328" s="191">
        <f>J328/V328</f>
        <v>36</v>
      </c>
      <c r="X328" s="164" t="s">
        <v>2</v>
      </c>
      <c r="Y328" s="161">
        <v>32</v>
      </c>
      <c r="Z328" s="183"/>
      <c r="AA328" s="214"/>
      <c r="AB328" s="216"/>
      <c r="AC328" s="161"/>
      <c r="AD328" s="243">
        <f>SUM(AC328:AC335)</f>
        <v>90950000</v>
      </c>
      <c r="AE328" s="228">
        <f>T328+AD328</f>
        <v>358070000</v>
      </c>
      <c r="AF328" s="155" t="s">
        <v>532</v>
      </c>
    </row>
    <row r="329" spans="1:36" ht="22.5" customHeight="1">
      <c r="A329" s="230"/>
      <c r="B329" s="235"/>
      <c r="C329" s="235"/>
      <c r="D329" s="238"/>
      <c r="E329" s="238"/>
      <c r="F329" s="238"/>
      <c r="G329" s="238"/>
      <c r="H329" s="243"/>
      <c r="I329" s="247"/>
      <c r="J329" s="243"/>
      <c r="K329" s="243"/>
      <c r="L329" s="243"/>
      <c r="M329" s="244"/>
      <c r="N329" s="243"/>
      <c r="O329" s="243"/>
      <c r="P329" s="243"/>
      <c r="Q329" s="243"/>
      <c r="R329" s="243"/>
      <c r="S329" s="243"/>
      <c r="T329" s="243"/>
      <c r="U329" s="186" t="s">
        <v>421</v>
      </c>
      <c r="V329" s="191"/>
      <c r="W329" s="191"/>
      <c r="X329" s="164" t="s">
        <v>2</v>
      </c>
      <c r="Y329" s="161">
        <v>32</v>
      </c>
      <c r="Z329" s="183">
        <v>2500000</v>
      </c>
      <c r="AA329" s="214"/>
      <c r="AB329" s="216">
        <v>1</v>
      </c>
      <c r="AC329" s="161">
        <f>Y329*Z329*AB329</f>
        <v>80000000</v>
      </c>
      <c r="AD329" s="243"/>
      <c r="AE329" s="228"/>
    </row>
    <row r="330" spans="1:36" ht="31.5">
      <c r="A330" s="230"/>
      <c r="B330" s="235"/>
      <c r="C330" s="235"/>
      <c r="D330" s="238"/>
      <c r="E330" s="238"/>
      <c r="F330" s="238"/>
      <c r="G330" s="238"/>
      <c r="H330" s="243"/>
      <c r="I330" s="247"/>
      <c r="J330" s="243"/>
      <c r="K330" s="243"/>
      <c r="L330" s="243"/>
      <c r="M330" s="244"/>
      <c r="N330" s="243"/>
      <c r="O330" s="243"/>
      <c r="P330" s="243"/>
      <c r="Q330" s="243"/>
      <c r="R330" s="243"/>
      <c r="S330" s="243"/>
      <c r="T330" s="243"/>
      <c r="U330" s="182" t="s">
        <v>539</v>
      </c>
      <c r="V330" s="191">
        <v>25</v>
      </c>
      <c r="W330" s="191">
        <f>J328/V330</f>
        <v>28.8</v>
      </c>
      <c r="X330" s="164" t="s">
        <v>2</v>
      </c>
      <c r="Y330" s="161">
        <v>5</v>
      </c>
      <c r="Z330" s="183"/>
      <c r="AA330" s="209"/>
      <c r="AB330" s="197"/>
      <c r="AC330" s="161"/>
      <c r="AD330" s="243"/>
      <c r="AE330" s="228"/>
    </row>
    <row r="331" spans="1:36" ht="21" customHeight="1">
      <c r="A331" s="230"/>
      <c r="B331" s="235"/>
      <c r="C331" s="235"/>
      <c r="D331" s="238"/>
      <c r="E331" s="238"/>
      <c r="F331" s="238"/>
      <c r="G331" s="238"/>
      <c r="H331" s="243"/>
      <c r="I331" s="247"/>
      <c r="J331" s="243"/>
      <c r="K331" s="243"/>
      <c r="L331" s="243"/>
      <c r="M331" s="244"/>
      <c r="N331" s="243"/>
      <c r="O331" s="243"/>
      <c r="P331" s="243"/>
      <c r="Q331" s="243"/>
      <c r="R331" s="243"/>
      <c r="S331" s="243"/>
      <c r="T331" s="243"/>
      <c r="U331" s="186" t="s">
        <v>421</v>
      </c>
      <c r="V331" s="191"/>
      <c r="W331" s="191"/>
      <c r="X331" s="164" t="s">
        <v>2</v>
      </c>
      <c r="Y331" s="161">
        <v>5</v>
      </c>
      <c r="Z331" s="183">
        <v>1500000</v>
      </c>
      <c r="AA331" s="214"/>
      <c r="AB331" s="216">
        <v>0.5</v>
      </c>
      <c r="AC331" s="161">
        <f t="shared" ref="AC331" si="53">Y331*Z331*AB331</f>
        <v>3750000</v>
      </c>
      <c r="AD331" s="243"/>
      <c r="AE331" s="228"/>
    </row>
    <row r="332" spans="1:36" ht="31.5">
      <c r="A332" s="230"/>
      <c r="B332" s="235"/>
      <c r="C332" s="235"/>
      <c r="D332" s="238"/>
      <c r="E332" s="238"/>
      <c r="F332" s="238"/>
      <c r="G332" s="238"/>
      <c r="H332" s="243"/>
      <c r="I332" s="247"/>
      <c r="J332" s="243"/>
      <c r="K332" s="243"/>
      <c r="L332" s="243"/>
      <c r="M332" s="244"/>
      <c r="N332" s="243"/>
      <c r="O332" s="243"/>
      <c r="P332" s="243"/>
      <c r="Q332" s="243"/>
      <c r="R332" s="243"/>
      <c r="S332" s="243"/>
      <c r="T332" s="243"/>
      <c r="U332" s="182" t="s">
        <v>540</v>
      </c>
      <c r="V332" s="191">
        <v>10</v>
      </c>
      <c r="W332" s="191">
        <f>J328/V332</f>
        <v>72</v>
      </c>
      <c r="X332" s="164" t="s">
        <v>2</v>
      </c>
      <c r="Y332" s="161">
        <v>60</v>
      </c>
      <c r="Z332" s="183"/>
      <c r="AA332" s="209"/>
      <c r="AB332" s="197"/>
      <c r="AC332" s="161"/>
      <c r="AD332" s="243"/>
      <c r="AE332" s="228"/>
    </row>
    <row r="333" spans="1:36" ht="21" customHeight="1">
      <c r="A333" s="230"/>
      <c r="B333" s="235"/>
      <c r="C333" s="235"/>
      <c r="D333" s="238"/>
      <c r="E333" s="238"/>
      <c r="F333" s="238"/>
      <c r="G333" s="238"/>
      <c r="H333" s="243"/>
      <c r="I333" s="247"/>
      <c r="J333" s="243"/>
      <c r="K333" s="243"/>
      <c r="L333" s="243"/>
      <c r="M333" s="244"/>
      <c r="N333" s="243"/>
      <c r="O333" s="243"/>
      <c r="P333" s="243"/>
      <c r="Q333" s="243"/>
      <c r="R333" s="243"/>
      <c r="S333" s="243"/>
      <c r="T333" s="243"/>
      <c r="U333" s="186" t="s">
        <v>421</v>
      </c>
      <c r="V333" s="191"/>
      <c r="W333" s="191"/>
      <c r="X333" s="164" t="s">
        <v>2</v>
      </c>
      <c r="Y333" s="161">
        <v>60</v>
      </c>
      <c r="Z333" s="183">
        <v>240000</v>
      </c>
      <c r="AA333" s="214"/>
      <c r="AB333" s="216">
        <v>0.5</v>
      </c>
      <c r="AC333" s="161">
        <f t="shared" ref="AC333" si="54">Y333*Z333*AB333</f>
        <v>7200000</v>
      </c>
      <c r="AD333" s="243"/>
      <c r="AE333" s="228"/>
    </row>
    <row r="334" spans="1:36" ht="47.25">
      <c r="A334" s="230"/>
      <c r="B334" s="235"/>
      <c r="C334" s="235"/>
      <c r="D334" s="238"/>
      <c r="E334" s="238"/>
      <c r="F334" s="238"/>
      <c r="G334" s="238"/>
      <c r="H334" s="243"/>
      <c r="I334" s="247"/>
      <c r="J334" s="243"/>
      <c r="K334" s="243"/>
      <c r="L334" s="243"/>
      <c r="M334" s="244"/>
      <c r="N334" s="243"/>
      <c r="O334" s="243"/>
      <c r="P334" s="243"/>
      <c r="Q334" s="243"/>
      <c r="R334" s="243"/>
      <c r="S334" s="243"/>
      <c r="T334" s="243"/>
      <c r="U334" s="190" t="s">
        <v>506</v>
      </c>
      <c r="V334" s="191"/>
      <c r="W334" s="191"/>
      <c r="X334" s="164" t="s">
        <v>6</v>
      </c>
      <c r="Y334" s="161">
        <v>119</v>
      </c>
      <c r="Z334" s="183"/>
      <c r="AA334" s="209"/>
      <c r="AB334" s="197"/>
      <c r="AC334" s="161"/>
      <c r="AD334" s="243"/>
      <c r="AE334" s="228"/>
    </row>
    <row r="335" spans="1:36" ht="21.75" customHeight="1">
      <c r="A335" s="230"/>
      <c r="B335" s="235"/>
      <c r="C335" s="235"/>
      <c r="D335" s="238"/>
      <c r="E335" s="238"/>
      <c r="F335" s="238"/>
      <c r="G335" s="238"/>
      <c r="H335" s="243"/>
      <c r="I335" s="247"/>
      <c r="J335" s="243"/>
      <c r="K335" s="243"/>
      <c r="L335" s="243"/>
      <c r="M335" s="244"/>
      <c r="N335" s="243"/>
      <c r="O335" s="243"/>
      <c r="P335" s="243"/>
      <c r="Q335" s="243"/>
      <c r="R335" s="243"/>
      <c r="S335" s="243"/>
      <c r="T335" s="243"/>
      <c r="U335" s="173" t="s">
        <v>426</v>
      </c>
      <c r="V335" s="191"/>
      <c r="W335" s="191"/>
      <c r="X335" s="164" t="s">
        <v>399</v>
      </c>
      <c r="Y335" s="192">
        <v>1</v>
      </c>
      <c r="Z335" s="183"/>
      <c r="AA335" s="214"/>
      <c r="AB335" s="216"/>
      <c r="AC335" s="161"/>
      <c r="AD335" s="243"/>
      <c r="AE335" s="228"/>
    </row>
    <row r="336" spans="1:36" ht="31.5" customHeight="1">
      <c r="A336" s="230">
        <v>44</v>
      </c>
      <c r="B336" s="235" t="s">
        <v>541</v>
      </c>
      <c r="C336" s="235" t="s">
        <v>412</v>
      </c>
      <c r="D336" s="238">
        <v>64</v>
      </c>
      <c r="E336" s="238">
        <v>592</v>
      </c>
      <c r="F336" s="238">
        <v>108</v>
      </c>
      <c r="G336" s="238" t="s">
        <v>28</v>
      </c>
      <c r="H336" s="243">
        <v>108</v>
      </c>
      <c r="I336" s="247">
        <f>F336-H336</f>
        <v>0</v>
      </c>
      <c r="J336" s="243">
        <v>108</v>
      </c>
      <c r="K336" s="243">
        <v>1521.5</v>
      </c>
      <c r="L336" s="243">
        <v>450</v>
      </c>
      <c r="M336" s="244">
        <f>J336/K336*100</f>
        <v>7.0982582977325013</v>
      </c>
      <c r="N336" s="243">
        <v>2</v>
      </c>
      <c r="O336" s="243">
        <v>1</v>
      </c>
      <c r="P336" s="243">
        <v>80000</v>
      </c>
      <c r="Q336" s="243">
        <f>P336*J336</f>
        <v>8640000</v>
      </c>
      <c r="R336" s="243">
        <f>Q336*3</f>
        <v>25920000</v>
      </c>
      <c r="S336" s="243">
        <f>N336*O336*S6</f>
        <v>1020000</v>
      </c>
      <c r="T336" s="243">
        <f>SUM(Q336:S343)</f>
        <v>35580000</v>
      </c>
      <c r="U336" s="182" t="s">
        <v>542</v>
      </c>
      <c r="V336" s="191">
        <v>28.57</v>
      </c>
      <c r="W336" s="191">
        <f>(J336-Y343)/V336</f>
        <v>3.4301715085754285</v>
      </c>
      <c r="X336" s="164" t="s">
        <v>2</v>
      </c>
      <c r="Y336" s="161">
        <v>3</v>
      </c>
      <c r="Z336" s="183"/>
      <c r="AA336" s="209"/>
      <c r="AB336" s="197"/>
      <c r="AC336" s="161"/>
      <c r="AD336" s="243">
        <f>SUM(AC336:AC343)</f>
        <v>7375000</v>
      </c>
      <c r="AE336" s="228">
        <f>T336+AD336</f>
        <v>42955000</v>
      </c>
      <c r="AF336" s="155" t="s">
        <v>532</v>
      </c>
    </row>
    <row r="337" spans="1:36" ht="19.5" customHeight="1">
      <c r="A337" s="230"/>
      <c r="B337" s="235"/>
      <c r="C337" s="235"/>
      <c r="D337" s="238"/>
      <c r="E337" s="238"/>
      <c r="F337" s="238"/>
      <c r="G337" s="238"/>
      <c r="H337" s="243"/>
      <c r="I337" s="247"/>
      <c r="J337" s="243"/>
      <c r="K337" s="243"/>
      <c r="L337" s="243"/>
      <c r="M337" s="244"/>
      <c r="N337" s="243"/>
      <c r="O337" s="243"/>
      <c r="P337" s="243"/>
      <c r="Q337" s="243"/>
      <c r="R337" s="243"/>
      <c r="S337" s="243"/>
      <c r="T337" s="243"/>
      <c r="U337" s="186" t="s">
        <v>421</v>
      </c>
      <c r="V337" s="191"/>
      <c r="W337" s="191"/>
      <c r="X337" s="164" t="s">
        <v>2</v>
      </c>
      <c r="Y337" s="161">
        <v>3</v>
      </c>
      <c r="Z337" s="183">
        <v>1400000</v>
      </c>
      <c r="AA337" s="214"/>
      <c r="AB337" s="216">
        <v>1</v>
      </c>
      <c r="AC337" s="161">
        <f t="shared" ref="AC337" si="55">Y337*Z337*AB337</f>
        <v>4200000</v>
      </c>
      <c r="AD337" s="243"/>
      <c r="AE337" s="228"/>
    </row>
    <row r="338" spans="1:36" ht="31.5">
      <c r="A338" s="230"/>
      <c r="B338" s="235"/>
      <c r="C338" s="235"/>
      <c r="D338" s="238"/>
      <c r="E338" s="238"/>
      <c r="F338" s="238"/>
      <c r="G338" s="238"/>
      <c r="H338" s="243"/>
      <c r="I338" s="247"/>
      <c r="J338" s="243"/>
      <c r="K338" s="243"/>
      <c r="L338" s="243"/>
      <c r="M338" s="244"/>
      <c r="N338" s="243"/>
      <c r="O338" s="243"/>
      <c r="P338" s="243"/>
      <c r="Q338" s="243"/>
      <c r="R338" s="243"/>
      <c r="S338" s="243"/>
      <c r="T338" s="243"/>
      <c r="U338" s="182" t="s">
        <v>543</v>
      </c>
      <c r="V338" s="191">
        <v>4</v>
      </c>
      <c r="W338" s="191">
        <f>(J336-Y343)/V338</f>
        <v>24.5</v>
      </c>
      <c r="X338" s="164" t="s">
        <v>396</v>
      </c>
      <c r="Y338" s="161">
        <v>20</v>
      </c>
      <c r="Z338" s="183"/>
      <c r="AA338" s="209"/>
      <c r="AB338" s="197"/>
      <c r="AC338" s="161"/>
      <c r="AD338" s="243"/>
      <c r="AE338" s="228"/>
    </row>
    <row r="339" spans="1:36" ht="21" customHeight="1">
      <c r="A339" s="230"/>
      <c r="B339" s="235"/>
      <c r="C339" s="235"/>
      <c r="D339" s="238"/>
      <c r="E339" s="238"/>
      <c r="F339" s="238"/>
      <c r="G339" s="238"/>
      <c r="H339" s="243"/>
      <c r="I339" s="247"/>
      <c r="J339" s="243"/>
      <c r="K339" s="243"/>
      <c r="L339" s="243"/>
      <c r="M339" s="244"/>
      <c r="N339" s="243"/>
      <c r="O339" s="243"/>
      <c r="P339" s="243"/>
      <c r="Q339" s="243"/>
      <c r="R339" s="243"/>
      <c r="S339" s="243"/>
      <c r="T339" s="243"/>
      <c r="U339" s="186" t="s">
        <v>421</v>
      </c>
      <c r="V339" s="191"/>
      <c r="W339" s="191"/>
      <c r="X339" s="164" t="s">
        <v>396</v>
      </c>
      <c r="Y339" s="161">
        <v>20</v>
      </c>
      <c r="Z339" s="183">
        <v>200000</v>
      </c>
      <c r="AA339" s="209"/>
      <c r="AB339" s="216">
        <v>0.5</v>
      </c>
      <c r="AC339" s="161">
        <f>Y339*Z339*AB339</f>
        <v>2000000</v>
      </c>
      <c r="AD339" s="243"/>
      <c r="AE339" s="228"/>
    </row>
    <row r="340" spans="1:36" ht="35.25" customHeight="1">
      <c r="A340" s="230"/>
      <c r="B340" s="235"/>
      <c r="C340" s="235"/>
      <c r="D340" s="238"/>
      <c r="E340" s="238"/>
      <c r="F340" s="238"/>
      <c r="G340" s="238"/>
      <c r="H340" s="243"/>
      <c r="I340" s="247"/>
      <c r="J340" s="243"/>
      <c r="K340" s="243"/>
      <c r="L340" s="243"/>
      <c r="M340" s="244"/>
      <c r="N340" s="243"/>
      <c r="O340" s="243"/>
      <c r="P340" s="243"/>
      <c r="Q340" s="243"/>
      <c r="R340" s="243"/>
      <c r="S340" s="243"/>
      <c r="T340" s="243"/>
      <c r="U340" s="182" t="s">
        <v>544</v>
      </c>
      <c r="V340" s="191"/>
      <c r="W340" s="191"/>
      <c r="X340" s="164" t="s">
        <v>396</v>
      </c>
      <c r="Y340" s="161">
        <v>5</v>
      </c>
      <c r="Z340" s="183"/>
      <c r="AA340" s="209"/>
      <c r="AB340" s="197"/>
      <c r="AC340" s="161"/>
      <c r="AD340" s="243"/>
      <c r="AE340" s="228"/>
    </row>
    <row r="341" spans="1:36" ht="21" customHeight="1">
      <c r="A341" s="230"/>
      <c r="B341" s="235"/>
      <c r="C341" s="235"/>
      <c r="D341" s="238"/>
      <c r="E341" s="238"/>
      <c r="F341" s="238"/>
      <c r="G341" s="238"/>
      <c r="H341" s="243"/>
      <c r="I341" s="247"/>
      <c r="J341" s="243"/>
      <c r="K341" s="243"/>
      <c r="L341" s="243"/>
      <c r="M341" s="244"/>
      <c r="N341" s="243"/>
      <c r="O341" s="243"/>
      <c r="P341" s="243"/>
      <c r="Q341" s="243"/>
      <c r="R341" s="243"/>
      <c r="S341" s="243"/>
      <c r="T341" s="243"/>
      <c r="U341" s="186" t="s">
        <v>421</v>
      </c>
      <c r="V341" s="191"/>
      <c r="W341" s="191"/>
      <c r="X341" s="164" t="s">
        <v>396</v>
      </c>
      <c r="Y341" s="161">
        <v>5</v>
      </c>
      <c r="Z341" s="183">
        <v>150000</v>
      </c>
      <c r="AA341" s="209"/>
      <c r="AB341" s="216">
        <v>0.5</v>
      </c>
      <c r="AC341" s="161">
        <f>Y341*Z341*AB341</f>
        <v>375000</v>
      </c>
      <c r="AD341" s="243"/>
      <c r="AE341" s="228"/>
    </row>
    <row r="342" spans="1:36" ht="21" customHeight="1">
      <c r="A342" s="230"/>
      <c r="B342" s="235"/>
      <c r="C342" s="235"/>
      <c r="D342" s="238"/>
      <c r="E342" s="238"/>
      <c r="F342" s="238"/>
      <c r="G342" s="238"/>
      <c r="H342" s="243"/>
      <c r="I342" s="247"/>
      <c r="J342" s="243"/>
      <c r="K342" s="243"/>
      <c r="L342" s="243"/>
      <c r="M342" s="244"/>
      <c r="N342" s="243"/>
      <c r="O342" s="243"/>
      <c r="P342" s="243"/>
      <c r="Q342" s="243"/>
      <c r="R342" s="243"/>
      <c r="S342" s="243"/>
      <c r="T342" s="243"/>
      <c r="U342" s="190" t="s">
        <v>635</v>
      </c>
      <c r="V342" s="191"/>
      <c r="W342" s="191"/>
      <c r="X342" s="164" t="s">
        <v>0</v>
      </c>
      <c r="Y342" s="161">
        <v>40</v>
      </c>
      <c r="Z342" s="183">
        <v>20000</v>
      </c>
      <c r="AA342" s="209"/>
      <c r="AB342" s="197">
        <v>1</v>
      </c>
      <c r="AC342" s="161">
        <f>Y342*Z342*AB342</f>
        <v>800000</v>
      </c>
      <c r="AD342" s="243"/>
      <c r="AE342" s="228"/>
    </row>
    <row r="343" spans="1:36" ht="21" customHeight="1">
      <c r="A343" s="230"/>
      <c r="B343" s="235"/>
      <c r="C343" s="235"/>
      <c r="D343" s="238"/>
      <c r="E343" s="238"/>
      <c r="F343" s="238"/>
      <c r="G343" s="238"/>
      <c r="H343" s="243"/>
      <c r="I343" s="247"/>
      <c r="J343" s="243"/>
      <c r="K343" s="243"/>
      <c r="L343" s="243"/>
      <c r="M343" s="244"/>
      <c r="N343" s="243"/>
      <c r="O343" s="243"/>
      <c r="P343" s="243"/>
      <c r="Q343" s="243"/>
      <c r="R343" s="243"/>
      <c r="S343" s="243"/>
      <c r="T343" s="243"/>
      <c r="U343" s="173" t="s">
        <v>535</v>
      </c>
      <c r="V343" s="191"/>
      <c r="W343" s="191"/>
      <c r="X343" s="164" t="s">
        <v>0</v>
      </c>
      <c r="Y343" s="161">
        <v>10</v>
      </c>
      <c r="Z343" s="183"/>
      <c r="AA343" s="214"/>
      <c r="AB343" s="216"/>
      <c r="AC343" s="161"/>
      <c r="AD343" s="243"/>
      <c r="AE343" s="228"/>
    </row>
    <row r="344" spans="1:36" s="20" customFormat="1" ht="31.5" customHeight="1">
      <c r="A344" s="230">
        <v>45</v>
      </c>
      <c r="B344" s="235" t="s">
        <v>404</v>
      </c>
      <c r="C344" s="235" t="s">
        <v>412</v>
      </c>
      <c r="D344" s="238">
        <v>64</v>
      </c>
      <c r="E344" s="238">
        <v>482</v>
      </c>
      <c r="F344" s="238">
        <v>179.9</v>
      </c>
      <c r="G344" s="238" t="s">
        <v>28</v>
      </c>
      <c r="H344" s="243">
        <v>180</v>
      </c>
      <c r="I344" s="247">
        <f>F344-H344</f>
        <v>-9.9999999999994316E-2</v>
      </c>
      <c r="J344" s="243">
        <v>180</v>
      </c>
      <c r="K344" s="243">
        <v>702</v>
      </c>
      <c r="L344" s="243">
        <v>450</v>
      </c>
      <c r="M344" s="244">
        <f>J344/K344*100</f>
        <v>25.641025641025639</v>
      </c>
      <c r="N344" s="243">
        <v>5</v>
      </c>
      <c r="O344" s="243">
        <v>2</v>
      </c>
      <c r="P344" s="243">
        <v>80000</v>
      </c>
      <c r="Q344" s="243">
        <f>P344*J344</f>
        <v>14400000</v>
      </c>
      <c r="R344" s="243">
        <f>Q344*3</f>
        <v>43200000</v>
      </c>
      <c r="S344" s="243">
        <f>N344*O344*S6</f>
        <v>5100000</v>
      </c>
      <c r="T344" s="243">
        <f>SUM(Q344:S347)</f>
        <v>62700000</v>
      </c>
      <c r="U344" s="182" t="s">
        <v>545</v>
      </c>
      <c r="V344" s="191">
        <v>25</v>
      </c>
      <c r="W344" s="191">
        <f>J344/V344</f>
        <v>7.2</v>
      </c>
      <c r="X344" s="164" t="s">
        <v>2</v>
      </c>
      <c r="Y344" s="161">
        <v>7</v>
      </c>
      <c r="Z344" s="183"/>
      <c r="AA344" s="209"/>
      <c r="AB344" s="197"/>
      <c r="AC344" s="161"/>
      <c r="AD344" s="243">
        <f>SUM(AC344:AC347)</f>
        <v>27370000</v>
      </c>
      <c r="AE344" s="228">
        <f>T344+AD344</f>
        <v>90070000</v>
      </c>
      <c r="AF344" s="155" t="s">
        <v>546</v>
      </c>
      <c r="AG344" s="155"/>
      <c r="AH344" s="155"/>
      <c r="AI344" s="155"/>
      <c r="AJ344" s="155"/>
    </row>
    <row r="345" spans="1:36" s="20" customFormat="1" ht="22.5" customHeight="1">
      <c r="A345" s="230"/>
      <c r="B345" s="235"/>
      <c r="C345" s="235"/>
      <c r="D345" s="238"/>
      <c r="E345" s="238"/>
      <c r="F345" s="238"/>
      <c r="G345" s="238"/>
      <c r="H345" s="243"/>
      <c r="I345" s="247"/>
      <c r="J345" s="243"/>
      <c r="K345" s="243"/>
      <c r="L345" s="243"/>
      <c r="M345" s="244"/>
      <c r="N345" s="243"/>
      <c r="O345" s="243"/>
      <c r="P345" s="243"/>
      <c r="Q345" s="243"/>
      <c r="R345" s="243"/>
      <c r="S345" s="243"/>
      <c r="T345" s="243"/>
      <c r="U345" s="186" t="s">
        <v>421</v>
      </c>
      <c r="V345" s="191"/>
      <c r="W345" s="191"/>
      <c r="X345" s="164" t="s">
        <v>2</v>
      </c>
      <c r="Y345" s="161">
        <v>7</v>
      </c>
      <c r="Z345" s="183">
        <v>3850000</v>
      </c>
      <c r="AA345" s="214"/>
      <c r="AB345" s="216">
        <v>1</v>
      </c>
      <c r="AC345" s="161">
        <f t="shared" ref="AC345" si="56">Y345*Z345*AB345</f>
        <v>26950000</v>
      </c>
      <c r="AD345" s="243"/>
      <c r="AE345" s="228"/>
      <c r="AF345" s="155"/>
      <c r="AG345" s="155"/>
      <c r="AH345" s="155"/>
      <c r="AI345" s="155"/>
      <c r="AJ345" s="155"/>
    </row>
    <row r="346" spans="1:36" s="20" customFormat="1" ht="31.5">
      <c r="A346" s="230"/>
      <c r="B346" s="235"/>
      <c r="C346" s="235"/>
      <c r="D346" s="238"/>
      <c r="E346" s="238"/>
      <c r="F346" s="238"/>
      <c r="G346" s="238"/>
      <c r="H346" s="243"/>
      <c r="I346" s="247"/>
      <c r="J346" s="243"/>
      <c r="K346" s="243"/>
      <c r="L346" s="243"/>
      <c r="M346" s="244"/>
      <c r="N346" s="243"/>
      <c r="O346" s="243"/>
      <c r="P346" s="243"/>
      <c r="Q346" s="243"/>
      <c r="R346" s="243"/>
      <c r="S346" s="243"/>
      <c r="T346" s="243"/>
      <c r="U346" s="182" t="s">
        <v>547</v>
      </c>
      <c r="V346" s="191">
        <v>10</v>
      </c>
      <c r="W346" s="191">
        <f>J344/V346</f>
        <v>18</v>
      </c>
      <c r="X346" s="164" t="s">
        <v>396</v>
      </c>
      <c r="Y346" s="161">
        <v>10</v>
      </c>
      <c r="Z346" s="183"/>
      <c r="AA346" s="209"/>
      <c r="AB346" s="197"/>
      <c r="AC346" s="161"/>
      <c r="AD346" s="243"/>
      <c r="AE346" s="228"/>
      <c r="AF346" s="155"/>
      <c r="AG346" s="155"/>
      <c r="AH346" s="155"/>
      <c r="AI346" s="155"/>
      <c r="AJ346" s="155"/>
    </row>
    <row r="347" spans="1:36" s="20" customFormat="1" ht="21" customHeight="1">
      <c r="A347" s="230"/>
      <c r="B347" s="235"/>
      <c r="C347" s="235"/>
      <c r="D347" s="238"/>
      <c r="E347" s="238"/>
      <c r="F347" s="238"/>
      <c r="G347" s="238"/>
      <c r="H347" s="243"/>
      <c r="I347" s="247"/>
      <c r="J347" s="243"/>
      <c r="K347" s="243"/>
      <c r="L347" s="243"/>
      <c r="M347" s="244"/>
      <c r="N347" s="243"/>
      <c r="O347" s="243"/>
      <c r="P347" s="243"/>
      <c r="Q347" s="243"/>
      <c r="R347" s="243"/>
      <c r="S347" s="243"/>
      <c r="T347" s="243"/>
      <c r="U347" s="186" t="s">
        <v>421</v>
      </c>
      <c r="V347" s="191"/>
      <c r="W347" s="191"/>
      <c r="X347" s="164" t="s">
        <v>396</v>
      </c>
      <c r="Y347" s="161">
        <v>10</v>
      </c>
      <c r="Z347" s="183">
        <v>140000</v>
      </c>
      <c r="AA347" s="209"/>
      <c r="AB347" s="197">
        <v>0.3</v>
      </c>
      <c r="AC347" s="161">
        <f>Y347*Z347*AB347</f>
        <v>420000</v>
      </c>
      <c r="AD347" s="243"/>
      <c r="AE347" s="228"/>
      <c r="AF347" s="155"/>
      <c r="AG347" s="155"/>
      <c r="AH347" s="155"/>
      <c r="AI347" s="155"/>
      <c r="AJ347" s="155"/>
    </row>
    <row r="348" spans="1:36" s="20" customFormat="1" ht="33.75" customHeight="1">
      <c r="A348" s="230">
        <v>46</v>
      </c>
      <c r="B348" s="235" t="s">
        <v>405</v>
      </c>
      <c r="C348" s="235" t="s">
        <v>412</v>
      </c>
      <c r="D348" s="238">
        <v>64</v>
      </c>
      <c r="E348" s="238">
        <v>496</v>
      </c>
      <c r="F348" s="238">
        <v>1459.3</v>
      </c>
      <c r="G348" s="238" t="s">
        <v>28</v>
      </c>
      <c r="H348" s="243">
        <v>1444.5</v>
      </c>
      <c r="I348" s="247">
        <f>F348-H348</f>
        <v>14.799999999999955</v>
      </c>
      <c r="J348" s="243">
        <v>1444.5</v>
      </c>
      <c r="K348" s="243">
        <v>1800</v>
      </c>
      <c r="L348" s="243">
        <v>450</v>
      </c>
      <c r="M348" s="244">
        <f>J348/K348*100</f>
        <v>80.25</v>
      </c>
      <c r="N348" s="243">
        <v>12</v>
      </c>
      <c r="O348" s="243">
        <v>10</v>
      </c>
      <c r="P348" s="243">
        <v>80000</v>
      </c>
      <c r="Q348" s="243">
        <f>P348*J348</f>
        <v>115560000</v>
      </c>
      <c r="R348" s="243">
        <f>Q348*3</f>
        <v>346680000</v>
      </c>
      <c r="S348" s="243">
        <f>N348*O348*S6</f>
        <v>61200000</v>
      </c>
      <c r="T348" s="243">
        <f>SUM(Q348:S364)</f>
        <v>523440000</v>
      </c>
      <c r="U348" s="182" t="s">
        <v>457</v>
      </c>
      <c r="V348" s="191">
        <v>25</v>
      </c>
      <c r="W348" s="191">
        <f>(J348-12)/V348</f>
        <v>57.3</v>
      </c>
      <c r="X348" s="164" t="s">
        <v>2</v>
      </c>
      <c r="Y348" s="161">
        <v>29</v>
      </c>
      <c r="Z348" s="183"/>
      <c r="AA348" s="214"/>
      <c r="AB348" s="216"/>
      <c r="AC348" s="161"/>
      <c r="AD348" s="243">
        <f>SUM(AC348:AC364)</f>
        <v>250705000</v>
      </c>
      <c r="AE348" s="228">
        <f>T348+AD348</f>
        <v>774145000</v>
      </c>
      <c r="AF348" s="155" t="s">
        <v>448</v>
      </c>
      <c r="AG348" s="155"/>
      <c r="AH348" s="155"/>
      <c r="AI348" s="155"/>
      <c r="AJ348" s="155"/>
    </row>
    <row r="349" spans="1:36" s="20" customFormat="1" ht="21" customHeight="1">
      <c r="A349" s="230"/>
      <c r="B349" s="235"/>
      <c r="C349" s="235"/>
      <c r="D349" s="238"/>
      <c r="E349" s="238"/>
      <c r="F349" s="238"/>
      <c r="G349" s="238"/>
      <c r="H349" s="243"/>
      <c r="I349" s="247"/>
      <c r="J349" s="243"/>
      <c r="K349" s="243"/>
      <c r="L349" s="243"/>
      <c r="M349" s="244"/>
      <c r="N349" s="243"/>
      <c r="O349" s="243"/>
      <c r="P349" s="243"/>
      <c r="Q349" s="243"/>
      <c r="R349" s="243"/>
      <c r="S349" s="243"/>
      <c r="T349" s="243"/>
      <c r="U349" s="186" t="s">
        <v>421</v>
      </c>
      <c r="V349" s="191"/>
      <c r="W349" s="191"/>
      <c r="X349" s="164" t="s">
        <v>2</v>
      </c>
      <c r="Y349" s="161">
        <v>29</v>
      </c>
      <c r="Z349" s="183">
        <v>4500000</v>
      </c>
      <c r="AA349" s="214"/>
      <c r="AB349" s="216">
        <v>1</v>
      </c>
      <c r="AC349" s="161">
        <f>Y349*Z349*AB349</f>
        <v>130500000</v>
      </c>
      <c r="AD349" s="243"/>
      <c r="AE349" s="228"/>
      <c r="AF349" s="155"/>
      <c r="AG349" s="155"/>
      <c r="AH349" s="155"/>
      <c r="AI349" s="155"/>
      <c r="AJ349" s="155"/>
    </row>
    <row r="350" spans="1:36" s="20" customFormat="1" ht="31.5">
      <c r="A350" s="230"/>
      <c r="B350" s="235"/>
      <c r="C350" s="235"/>
      <c r="D350" s="238"/>
      <c r="E350" s="238"/>
      <c r="F350" s="238"/>
      <c r="G350" s="238"/>
      <c r="H350" s="243"/>
      <c r="I350" s="247"/>
      <c r="J350" s="243"/>
      <c r="K350" s="243"/>
      <c r="L350" s="243"/>
      <c r="M350" s="244"/>
      <c r="N350" s="243"/>
      <c r="O350" s="243"/>
      <c r="P350" s="243"/>
      <c r="Q350" s="243"/>
      <c r="R350" s="243"/>
      <c r="S350" s="243"/>
      <c r="T350" s="243"/>
      <c r="U350" s="182" t="s">
        <v>643</v>
      </c>
      <c r="V350" s="191"/>
      <c r="W350" s="191"/>
      <c r="X350" s="164" t="s">
        <v>2</v>
      </c>
      <c r="Y350" s="161">
        <v>30</v>
      </c>
      <c r="Z350" s="183"/>
      <c r="AA350" s="209"/>
      <c r="AB350" s="197"/>
      <c r="AC350" s="161"/>
      <c r="AD350" s="243"/>
      <c r="AE350" s="228"/>
      <c r="AF350" s="155"/>
      <c r="AG350" s="155"/>
      <c r="AH350" s="155"/>
      <c r="AI350" s="155"/>
      <c r="AJ350" s="155"/>
    </row>
    <row r="351" spans="1:36" s="20" customFormat="1" ht="21" customHeight="1">
      <c r="A351" s="230"/>
      <c r="B351" s="235"/>
      <c r="C351" s="235"/>
      <c r="D351" s="238"/>
      <c r="E351" s="238"/>
      <c r="F351" s="238"/>
      <c r="G351" s="238"/>
      <c r="H351" s="243"/>
      <c r="I351" s="247"/>
      <c r="J351" s="243"/>
      <c r="K351" s="243"/>
      <c r="L351" s="243"/>
      <c r="M351" s="244"/>
      <c r="N351" s="243"/>
      <c r="O351" s="243"/>
      <c r="P351" s="243"/>
      <c r="Q351" s="243"/>
      <c r="R351" s="243"/>
      <c r="S351" s="243"/>
      <c r="T351" s="243"/>
      <c r="U351" s="186" t="s">
        <v>421</v>
      </c>
      <c r="V351" s="191"/>
      <c r="W351" s="191"/>
      <c r="X351" s="164" t="s">
        <v>2</v>
      </c>
      <c r="Y351" s="161">
        <v>28</v>
      </c>
      <c r="Z351" s="183">
        <v>3850000</v>
      </c>
      <c r="AA351" s="214"/>
      <c r="AB351" s="216">
        <v>1</v>
      </c>
      <c r="AC351" s="161">
        <f t="shared" ref="AC351:AC353" si="57">Y351*Z351*AB351</f>
        <v>107800000</v>
      </c>
      <c r="AD351" s="243"/>
      <c r="AE351" s="228"/>
      <c r="AF351" s="155"/>
      <c r="AG351" s="155"/>
      <c r="AH351" s="155"/>
      <c r="AI351" s="155"/>
      <c r="AJ351" s="155"/>
    </row>
    <row r="352" spans="1:36" s="20" customFormat="1" ht="21" customHeight="1">
      <c r="A352" s="230"/>
      <c r="B352" s="235"/>
      <c r="C352" s="235"/>
      <c r="D352" s="238"/>
      <c r="E352" s="238"/>
      <c r="F352" s="238"/>
      <c r="G352" s="238"/>
      <c r="H352" s="243"/>
      <c r="I352" s="247"/>
      <c r="J352" s="243"/>
      <c r="K352" s="243"/>
      <c r="L352" s="243"/>
      <c r="M352" s="244"/>
      <c r="N352" s="243"/>
      <c r="O352" s="243"/>
      <c r="P352" s="243"/>
      <c r="Q352" s="243"/>
      <c r="R352" s="243"/>
      <c r="S352" s="243"/>
      <c r="T352" s="243"/>
      <c r="U352" s="186" t="s">
        <v>423</v>
      </c>
      <c r="V352" s="191"/>
      <c r="W352" s="191">
        <f>0.3*2</f>
        <v>0.6</v>
      </c>
      <c r="X352" s="164" t="s">
        <v>2</v>
      </c>
      <c r="Y352" s="161">
        <v>1</v>
      </c>
      <c r="Z352" s="183">
        <v>3850000</v>
      </c>
      <c r="AA352" s="214"/>
      <c r="AB352" s="216">
        <v>0.3</v>
      </c>
      <c r="AC352" s="161">
        <f t="shared" si="57"/>
        <v>1155000</v>
      </c>
      <c r="AD352" s="243"/>
      <c r="AE352" s="228"/>
      <c r="AF352" s="155"/>
      <c r="AG352" s="155"/>
      <c r="AH352" s="155"/>
      <c r="AI352" s="155"/>
      <c r="AJ352" s="155"/>
    </row>
    <row r="353" spans="1:36" s="20" customFormat="1" ht="21" customHeight="1">
      <c r="A353" s="230"/>
      <c r="B353" s="235"/>
      <c r="C353" s="235"/>
      <c r="D353" s="238"/>
      <c r="E353" s="238"/>
      <c r="F353" s="238"/>
      <c r="G353" s="238"/>
      <c r="H353" s="243"/>
      <c r="I353" s="247"/>
      <c r="J353" s="243"/>
      <c r="K353" s="243"/>
      <c r="L353" s="243"/>
      <c r="M353" s="244"/>
      <c r="N353" s="243"/>
      <c r="O353" s="243"/>
      <c r="P353" s="243"/>
      <c r="Q353" s="243"/>
      <c r="R353" s="243"/>
      <c r="S353" s="243"/>
      <c r="T353" s="243"/>
      <c r="U353" s="186" t="s">
        <v>424</v>
      </c>
      <c r="V353" s="191"/>
      <c r="W353" s="191"/>
      <c r="X353" s="164" t="s">
        <v>2</v>
      </c>
      <c r="Y353" s="161">
        <v>1</v>
      </c>
      <c r="Z353" s="183">
        <v>3850000</v>
      </c>
      <c r="AA353" s="214"/>
      <c r="AB353" s="216">
        <v>0</v>
      </c>
      <c r="AC353" s="161">
        <f t="shared" si="57"/>
        <v>0</v>
      </c>
      <c r="AD353" s="243"/>
      <c r="AE353" s="228"/>
      <c r="AF353" s="155"/>
      <c r="AG353" s="155"/>
      <c r="AH353" s="155"/>
      <c r="AI353" s="155"/>
      <c r="AJ353" s="155"/>
    </row>
    <row r="354" spans="1:36" s="20" customFormat="1" ht="31.5">
      <c r="A354" s="230"/>
      <c r="B354" s="235"/>
      <c r="C354" s="235"/>
      <c r="D354" s="238"/>
      <c r="E354" s="238"/>
      <c r="F354" s="238"/>
      <c r="G354" s="238"/>
      <c r="H354" s="243"/>
      <c r="I354" s="247"/>
      <c r="J354" s="243"/>
      <c r="K354" s="243"/>
      <c r="L354" s="243"/>
      <c r="M354" s="244"/>
      <c r="N354" s="243"/>
      <c r="O354" s="243"/>
      <c r="P354" s="243"/>
      <c r="Q354" s="243"/>
      <c r="R354" s="243"/>
      <c r="S354" s="243"/>
      <c r="T354" s="243"/>
      <c r="U354" s="182" t="s">
        <v>468</v>
      </c>
      <c r="V354" s="191">
        <v>20</v>
      </c>
      <c r="W354" s="191">
        <f>(J348-12)/V354</f>
        <v>71.625</v>
      </c>
      <c r="X354" s="164" t="s">
        <v>2</v>
      </c>
      <c r="Y354" s="161">
        <v>15</v>
      </c>
      <c r="Z354" s="183"/>
      <c r="AA354" s="214"/>
      <c r="AB354" s="216"/>
      <c r="AC354" s="161"/>
      <c r="AD354" s="243"/>
      <c r="AE354" s="228"/>
      <c r="AF354" s="155"/>
      <c r="AG354" s="155"/>
      <c r="AH354" s="155"/>
      <c r="AI354" s="155"/>
      <c r="AJ354" s="155"/>
    </row>
    <row r="355" spans="1:36" s="20" customFormat="1" ht="21" customHeight="1">
      <c r="A355" s="230"/>
      <c r="B355" s="235"/>
      <c r="C355" s="235"/>
      <c r="D355" s="238"/>
      <c r="E355" s="238"/>
      <c r="F355" s="238"/>
      <c r="G355" s="238"/>
      <c r="H355" s="243"/>
      <c r="I355" s="247"/>
      <c r="J355" s="243"/>
      <c r="K355" s="243"/>
      <c r="L355" s="243"/>
      <c r="M355" s="244"/>
      <c r="N355" s="243"/>
      <c r="O355" s="243"/>
      <c r="P355" s="243"/>
      <c r="Q355" s="243"/>
      <c r="R355" s="243"/>
      <c r="S355" s="243"/>
      <c r="T355" s="243"/>
      <c r="U355" s="186" t="s">
        <v>497</v>
      </c>
      <c r="V355" s="191"/>
      <c r="W355" s="191">
        <f>0.3*W354</f>
        <v>21.487500000000001</v>
      </c>
      <c r="X355" s="164" t="s">
        <v>2</v>
      </c>
      <c r="Y355" s="161">
        <v>15</v>
      </c>
      <c r="Z355" s="183">
        <v>2500000</v>
      </c>
      <c r="AA355" s="214"/>
      <c r="AB355" s="216">
        <v>0.3</v>
      </c>
      <c r="AC355" s="161">
        <f>Y355*Z355*AB355</f>
        <v>11250000</v>
      </c>
      <c r="AD355" s="243"/>
      <c r="AE355" s="228"/>
      <c r="AF355" s="155"/>
      <c r="AG355" s="155"/>
      <c r="AH355" s="155"/>
      <c r="AI355" s="155"/>
      <c r="AJ355" s="155"/>
    </row>
    <row r="356" spans="1:36" s="20" customFormat="1" ht="31.5">
      <c r="A356" s="230"/>
      <c r="B356" s="235"/>
      <c r="C356" s="235"/>
      <c r="D356" s="238"/>
      <c r="E356" s="238"/>
      <c r="F356" s="238"/>
      <c r="G356" s="238"/>
      <c r="H356" s="243"/>
      <c r="I356" s="247"/>
      <c r="J356" s="243"/>
      <c r="K356" s="243"/>
      <c r="L356" s="243"/>
      <c r="M356" s="244"/>
      <c r="N356" s="243"/>
      <c r="O356" s="243"/>
      <c r="P356" s="243"/>
      <c r="Q356" s="243"/>
      <c r="R356" s="243"/>
      <c r="S356" s="243"/>
      <c r="T356" s="243"/>
      <c r="U356" s="182" t="s">
        <v>488</v>
      </c>
      <c r="V356" s="191">
        <v>4</v>
      </c>
      <c r="W356" s="191">
        <f>J348/V356</f>
        <v>361.125</v>
      </c>
      <c r="X356" s="164" t="s">
        <v>396</v>
      </c>
      <c r="Y356" s="161">
        <v>70</v>
      </c>
      <c r="Z356" s="183"/>
      <c r="AA356" s="209"/>
      <c r="AB356" s="197"/>
      <c r="AC356" s="161"/>
      <c r="AD356" s="243"/>
      <c r="AE356" s="228"/>
      <c r="AF356" s="155"/>
      <c r="AG356" s="155"/>
      <c r="AH356" s="155"/>
      <c r="AI356" s="155"/>
      <c r="AJ356" s="155"/>
    </row>
    <row r="357" spans="1:36" s="20" customFormat="1" ht="21" customHeight="1">
      <c r="A357" s="230"/>
      <c r="B357" s="235"/>
      <c r="C357" s="235"/>
      <c r="D357" s="238"/>
      <c r="E357" s="238"/>
      <c r="F357" s="238"/>
      <c r="G357" s="238"/>
      <c r="H357" s="243"/>
      <c r="I357" s="247"/>
      <c r="J357" s="243"/>
      <c r="K357" s="243"/>
      <c r="L357" s="243"/>
      <c r="M357" s="244"/>
      <c r="N357" s="243"/>
      <c r="O357" s="243"/>
      <c r="P357" s="243"/>
      <c r="Q357" s="243"/>
      <c r="R357" s="243"/>
      <c r="S357" s="243"/>
      <c r="T357" s="243"/>
      <c r="U357" s="186" t="s">
        <v>486</v>
      </c>
      <c r="V357" s="191"/>
      <c r="W357" s="191">
        <f>0.3*W356</f>
        <v>108.33749999999999</v>
      </c>
      <c r="X357" s="164" t="s">
        <v>396</v>
      </c>
      <c r="Y357" s="161">
        <v>70</v>
      </c>
      <c r="Z357" s="183">
        <v>200000</v>
      </c>
      <c r="AA357" s="209"/>
      <c r="AB357" s="197">
        <v>0</v>
      </c>
      <c r="AC357" s="161">
        <f>Y357*Z357*AB357</f>
        <v>0</v>
      </c>
      <c r="AD357" s="243"/>
      <c r="AE357" s="228"/>
      <c r="AF357" s="155"/>
      <c r="AG357" s="155"/>
      <c r="AH357" s="155"/>
      <c r="AI357" s="155"/>
      <c r="AJ357" s="155"/>
    </row>
    <row r="358" spans="1:36" s="20" customFormat="1" ht="35.25" customHeight="1">
      <c r="A358" s="230"/>
      <c r="B358" s="235"/>
      <c r="C358" s="235"/>
      <c r="D358" s="238"/>
      <c r="E358" s="238"/>
      <c r="F358" s="238"/>
      <c r="G358" s="238"/>
      <c r="H358" s="243"/>
      <c r="I358" s="247"/>
      <c r="J358" s="243"/>
      <c r="K358" s="243"/>
      <c r="L358" s="243"/>
      <c r="M358" s="244"/>
      <c r="N358" s="243"/>
      <c r="O358" s="243"/>
      <c r="P358" s="243"/>
      <c r="Q358" s="243"/>
      <c r="R358" s="243"/>
      <c r="S358" s="243"/>
      <c r="T358" s="243"/>
      <c r="U358" s="182" t="s">
        <v>431</v>
      </c>
      <c r="V358" s="191"/>
      <c r="W358" s="191"/>
      <c r="X358" s="164" t="s">
        <v>396</v>
      </c>
      <c r="Y358" s="161">
        <v>60</v>
      </c>
      <c r="Z358" s="183"/>
      <c r="AA358" s="209"/>
      <c r="AB358" s="197"/>
      <c r="AC358" s="161"/>
      <c r="AD358" s="243"/>
      <c r="AE358" s="228"/>
      <c r="AF358" s="155"/>
      <c r="AG358" s="155"/>
      <c r="AH358" s="155"/>
      <c r="AI358" s="155"/>
      <c r="AJ358" s="155"/>
    </row>
    <row r="359" spans="1:36" s="20" customFormat="1" ht="21" customHeight="1">
      <c r="A359" s="230"/>
      <c r="B359" s="235"/>
      <c r="C359" s="235"/>
      <c r="D359" s="238"/>
      <c r="E359" s="238"/>
      <c r="F359" s="238"/>
      <c r="G359" s="238"/>
      <c r="H359" s="243"/>
      <c r="I359" s="247"/>
      <c r="J359" s="243"/>
      <c r="K359" s="243"/>
      <c r="L359" s="243"/>
      <c r="M359" s="244"/>
      <c r="N359" s="243"/>
      <c r="O359" s="243"/>
      <c r="P359" s="243"/>
      <c r="Q359" s="243"/>
      <c r="R359" s="243"/>
      <c r="S359" s="243"/>
      <c r="T359" s="243"/>
      <c r="U359" s="186" t="s">
        <v>486</v>
      </c>
      <c r="V359" s="191"/>
      <c r="W359" s="191"/>
      <c r="X359" s="164" t="s">
        <v>396</v>
      </c>
      <c r="Y359" s="161">
        <v>60</v>
      </c>
      <c r="Z359" s="183">
        <v>150000</v>
      </c>
      <c r="AA359" s="209"/>
      <c r="AB359" s="197">
        <v>0</v>
      </c>
      <c r="AC359" s="161">
        <f>Y359*Z359*AB359</f>
        <v>0</v>
      </c>
      <c r="AD359" s="243"/>
      <c r="AE359" s="228"/>
      <c r="AF359" s="155"/>
      <c r="AG359" s="155"/>
      <c r="AH359" s="155"/>
      <c r="AI359" s="155"/>
      <c r="AJ359" s="155"/>
    </row>
    <row r="360" spans="1:36" s="20" customFormat="1" ht="56.25" customHeight="1">
      <c r="A360" s="230"/>
      <c r="B360" s="235"/>
      <c r="C360" s="235"/>
      <c r="D360" s="238"/>
      <c r="E360" s="238"/>
      <c r="F360" s="238"/>
      <c r="G360" s="238"/>
      <c r="H360" s="243"/>
      <c r="I360" s="247"/>
      <c r="J360" s="243"/>
      <c r="K360" s="243"/>
      <c r="L360" s="243"/>
      <c r="M360" s="244"/>
      <c r="N360" s="243"/>
      <c r="O360" s="243"/>
      <c r="P360" s="243"/>
      <c r="Q360" s="243"/>
      <c r="R360" s="243"/>
      <c r="S360" s="243"/>
      <c r="T360" s="243"/>
      <c r="U360" s="190" t="s">
        <v>483</v>
      </c>
      <c r="V360" s="191"/>
      <c r="W360" s="191"/>
      <c r="X360" s="164" t="s">
        <v>6</v>
      </c>
      <c r="Y360" s="192">
        <v>140</v>
      </c>
      <c r="Z360" s="183"/>
      <c r="AA360" s="209"/>
      <c r="AB360" s="197"/>
      <c r="AC360" s="161"/>
      <c r="AD360" s="243"/>
      <c r="AE360" s="228"/>
      <c r="AF360" s="155"/>
      <c r="AG360" s="155"/>
      <c r="AH360" s="155"/>
      <c r="AI360" s="155"/>
      <c r="AJ360" s="155"/>
    </row>
    <row r="361" spans="1:36" s="20" customFormat="1" ht="22.5" customHeight="1">
      <c r="A361" s="230"/>
      <c r="B361" s="235"/>
      <c r="C361" s="235"/>
      <c r="D361" s="238"/>
      <c r="E361" s="238"/>
      <c r="F361" s="238"/>
      <c r="G361" s="238"/>
      <c r="H361" s="243"/>
      <c r="I361" s="247"/>
      <c r="J361" s="243"/>
      <c r="K361" s="243"/>
      <c r="L361" s="243"/>
      <c r="M361" s="244"/>
      <c r="N361" s="243"/>
      <c r="O361" s="243"/>
      <c r="P361" s="243"/>
      <c r="Q361" s="243"/>
      <c r="R361" s="243"/>
      <c r="S361" s="243"/>
      <c r="T361" s="243"/>
      <c r="U361" s="214" t="s">
        <v>576</v>
      </c>
      <c r="V361" s="191"/>
      <c r="W361" s="191"/>
      <c r="X361" s="164" t="s">
        <v>6</v>
      </c>
      <c r="Y361" s="192">
        <v>240</v>
      </c>
      <c r="Z361" s="183"/>
      <c r="AA361" s="209"/>
      <c r="AB361" s="197"/>
      <c r="AC361" s="161"/>
      <c r="AD361" s="243"/>
      <c r="AE361" s="228"/>
      <c r="AF361" s="155"/>
      <c r="AG361" s="155"/>
      <c r="AH361" s="155"/>
      <c r="AI361" s="155"/>
      <c r="AJ361" s="155"/>
    </row>
    <row r="362" spans="1:36" s="20" customFormat="1" ht="22.5" customHeight="1">
      <c r="A362" s="230"/>
      <c r="B362" s="235"/>
      <c r="C362" s="235"/>
      <c r="D362" s="238"/>
      <c r="E362" s="238"/>
      <c r="F362" s="238"/>
      <c r="G362" s="238"/>
      <c r="H362" s="243"/>
      <c r="I362" s="247"/>
      <c r="J362" s="243"/>
      <c r="K362" s="243"/>
      <c r="L362" s="243"/>
      <c r="M362" s="244"/>
      <c r="N362" s="243"/>
      <c r="O362" s="243"/>
      <c r="P362" s="243"/>
      <c r="Q362" s="243"/>
      <c r="R362" s="243"/>
      <c r="S362" s="243"/>
      <c r="T362" s="243"/>
      <c r="U362" s="173" t="s">
        <v>443</v>
      </c>
      <c r="V362" s="191"/>
      <c r="W362" s="191"/>
      <c r="X362" s="164" t="s">
        <v>399</v>
      </c>
      <c r="Y362" s="192">
        <v>2</v>
      </c>
      <c r="Z362" s="183"/>
      <c r="AA362" s="209"/>
      <c r="AB362" s="197"/>
      <c r="AC362" s="161"/>
      <c r="AD362" s="243"/>
      <c r="AE362" s="228"/>
      <c r="AF362" s="155"/>
      <c r="AG362" s="155"/>
      <c r="AH362" s="155"/>
      <c r="AI362" s="155"/>
      <c r="AJ362" s="155"/>
    </row>
    <row r="363" spans="1:36" s="20" customFormat="1" ht="47.25" customHeight="1">
      <c r="A363" s="230"/>
      <c r="B363" s="235"/>
      <c r="C363" s="235"/>
      <c r="D363" s="238"/>
      <c r="E363" s="238"/>
      <c r="F363" s="238"/>
      <c r="G363" s="238"/>
      <c r="H363" s="243"/>
      <c r="I363" s="247"/>
      <c r="J363" s="243"/>
      <c r="K363" s="243"/>
      <c r="L363" s="243"/>
      <c r="M363" s="244"/>
      <c r="N363" s="243"/>
      <c r="O363" s="243"/>
      <c r="P363" s="243"/>
      <c r="Q363" s="243"/>
      <c r="R363" s="243"/>
      <c r="S363" s="243"/>
      <c r="T363" s="243"/>
      <c r="U363" s="173" t="s">
        <v>577</v>
      </c>
      <c r="V363" s="191"/>
      <c r="W363" s="191"/>
      <c r="X363" s="164" t="s">
        <v>414</v>
      </c>
      <c r="Y363" s="192">
        <v>18</v>
      </c>
      <c r="Z363" s="183"/>
      <c r="AA363" s="209"/>
      <c r="AB363" s="197"/>
      <c r="AC363" s="161"/>
      <c r="AD363" s="243"/>
      <c r="AE363" s="228"/>
      <c r="AF363" s="155"/>
      <c r="AG363" s="155"/>
      <c r="AH363" s="155"/>
      <c r="AI363" s="155"/>
      <c r="AJ363" s="155"/>
    </row>
    <row r="364" spans="1:36" s="20" customFormat="1" ht="47.25" customHeight="1">
      <c r="A364" s="230"/>
      <c r="B364" s="235"/>
      <c r="C364" s="235"/>
      <c r="D364" s="238"/>
      <c r="E364" s="238"/>
      <c r="F364" s="238"/>
      <c r="G364" s="238"/>
      <c r="H364" s="243"/>
      <c r="I364" s="247"/>
      <c r="J364" s="243"/>
      <c r="K364" s="243"/>
      <c r="L364" s="243"/>
      <c r="M364" s="244"/>
      <c r="N364" s="243"/>
      <c r="O364" s="243"/>
      <c r="P364" s="243"/>
      <c r="Q364" s="243"/>
      <c r="R364" s="243"/>
      <c r="S364" s="243"/>
      <c r="T364" s="243"/>
      <c r="U364" s="190" t="s">
        <v>578</v>
      </c>
      <c r="V364" s="191"/>
      <c r="W364" s="191"/>
      <c r="X364" s="164" t="s">
        <v>7</v>
      </c>
      <c r="Y364" s="192">
        <v>100</v>
      </c>
      <c r="Z364" s="183"/>
      <c r="AA364" s="214"/>
      <c r="AB364" s="216"/>
      <c r="AC364" s="161"/>
      <c r="AD364" s="243"/>
      <c r="AE364" s="228"/>
      <c r="AF364" s="155"/>
      <c r="AG364" s="155"/>
      <c r="AH364" s="155"/>
      <c r="AI364" s="155"/>
      <c r="AJ364" s="155"/>
    </row>
    <row r="365" spans="1:36" s="19" customFormat="1" ht="23.25" customHeight="1">
      <c r="A365" s="230">
        <v>47</v>
      </c>
      <c r="B365" s="248" t="s">
        <v>548</v>
      </c>
      <c r="C365" s="238" t="s">
        <v>33</v>
      </c>
      <c r="D365" s="238">
        <v>64</v>
      </c>
      <c r="E365" s="238">
        <v>816</v>
      </c>
      <c r="F365" s="238">
        <v>183.6</v>
      </c>
      <c r="G365" s="238" t="s">
        <v>28</v>
      </c>
      <c r="H365" s="243">
        <v>180</v>
      </c>
      <c r="I365" s="247">
        <f>F365-H365</f>
        <v>3.5999999999999943</v>
      </c>
      <c r="J365" s="243">
        <v>180</v>
      </c>
      <c r="K365" s="243">
        <v>1080</v>
      </c>
      <c r="L365" s="238"/>
      <c r="M365" s="244">
        <f>J365/K365*100</f>
        <v>16.666666666666664</v>
      </c>
      <c r="N365" s="243">
        <v>3</v>
      </c>
      <c r="O365" s="243">
        <v>7</v>
      </c>
      <c r="P365" s="243">
        <v>80000</v>
      </c>
      <c r="Q365" s="243">
        <f>P365*J365</f>
        <v>14400000</v>
      </c>
      <c r="R365" s="243">
        <f>Q365*3</f>
        <v>43200000</v>
      </c>
      <c r="S365" s="243">
        <f>N365*O365*S6</f>
        <v>10710000</v>
      </c>
      <c r="T365" s="243">
        <f>SUM(Q365:S371)</f>
        <v>68310000</v>
      </c>
      <c r="U365" s="210" t="s">
        <v>446</v>
      </c>
      <c r="V365" s="191"/>
      <c r="W365" s="191"/>
      <c r="X365" s="164" t="s">
        <v>0</v>
      </c>
      <c r="Y365" s="215">
        <v>135</v>
      </c>
      <c r="Z365" s="183">
        <v>180000</v>
      </c>
      <c r="AA365" s="209"/>
      <c r="AB365" s="197">
        <v>1</v>
      </c>
      <c r="AC365" s="161">
        <f>Y365*Z365*AB365</f>
        <v>24300000</v>
      </c>
      <c r="AD365" s="243">
        <f>SUM(AC365:AC371)</f>
        <v>26800000</v>
      </c>
      <c r="AE365" s="228">
        <f>T365+AD365</f>
        <v>95110000</v>
      </c>
      <c r="AF365" s="155"/>
      <c r="AG365" s="153"/>
      <c r="AH365" s="153"/>
      <c r="AI365" s="153"/>
      <c r="AJ365" s="153"/>
    </row>
    <row r="366" spans="1:36" s="19" customFormat="1" ht="36" customHeight="1">
      <c r="A366" s="230"/>
      <c r="B366" s="248"/>
      <c r="C366" s="238"/>
      <c r="D366" s="238"/>
      <c r="E366" s="238"/>
      <c r="F366" s="238"/>
      <c r="G366" s="238"/>
      <c r="H366" s="243"/>
      <c r="I366" s="247"/>
      <c r="J366" s="243"/>
      <c r="K366" s="243"/>
      <c r="L366" s="238"/>
      <c r="M366" s="244"/>
      <c r="N366" s="243"/>
      <c r="O366" s="243"/>
      <c r="P366" s="243"/>
      <c r="Q366" s="243"/>
      <c r="R366" s="243"/>
      <c r="S366" s="243"/>
      <c r="T366" s="243"/>
      <c r="U366" s="182" t="s">
        <v>449</v>
      </c>
      <c r="V366" s="191">
        <v>4</v>
      </c>
      <c r="W366" s="191">
        <f>(J365-Y365)/V366</f>
        <v>11.25</v>
      </c>
      <c r="X366" s="164" t="s">
        <v>396</v>
      </c>
      <c r="Y366" s="161">
        <v>20</v>
      </c>
      <c r="Z366" s="183"/>
      <c r="AA366" s="209"/>
      <c r="AB366" s="197"/>
      <c r="AC366" s="161"/>
      <c r="AD366" s="243"/>
      <c r="AE366" s="228"/>
      <c r="AF366" s="155" t="s">
        <v>398</v>
      </c>
      <c r="AG366" s="153"/>
      <c r="AH366" s="153"/>
      <c r="AI366" s="153"/>
      <c r="AJ366" s="153"/>
    </row>
    <row r="367" spans="1:36" s="19" customFormat="1" ht="21.75" customHeight="1">
      <c r="A367" s="230"/>
      <c r="B367" s="248"/>
      <c r="C367" s="238"/>
      <c r="D367" s="238"/>
      <c r="E367" s="238"/>
      <c r="F367" s="238"/>
      <c r="G367" s="238"/>
      <c r="H367" s="243"/>
      <c r="I367" s="247"/>
      <c r="J367" s="243"/>
      <c r="K367" s="243"/>
      <c r="L367" s="238"/>
      <c r="M367" s="244"/>
      <c r="N367" s="243"/>
      <c r="O367" s="243"/>
      <c r="P367" s="243"/>
      <c r="Q367" s="243"/>
      <c r="R367" s="243"/>
      <c r="S367" s="243"/>
      <c r="T367" s="243"/>
      <c r="U367" s="186" t="s">
        <v>421</v>
      </c>
      <c r="V367" s="191"/>
      <c r="W367" s="191"/>
      <c r="X367" s="164" t="s">
        <v>396</v>
      </c>
      <c r="Y367" s="161">
        <v>11</v>
      </c>
      <c r="Z367" s="183">
        <v>200000</v>
      </c>
      <c r="AA367" s="209"/>
      <c r="AB367" s="197">
        <v>1</v>
      </c>
      <c r="AC367" s="161">
        <f>Y367*Z367*AB367</f>
        <v>2200000</v>
      </c>
      <c r="AD367" s="243"/>
      <c r="AE367" s="228"/>
      <c r="AF367" s="155"/>
      <c r="AG367" s="153"/>
      <c r="AH367" s="153"/>
      <c r="AI367" s="153"/>
      <c r="AJ367" s="153"/>
    </row>
    <row r="368" spans="1:36" s="19" customFormat="1" ht="21.75" customHeight="1">
      <c r="A368" s="230"/>
      <c r="B368" s="248"/>
      <c r="C368" s="238"/>
      <c r="D368" s="238"/>
      <c r="E368" s="238"/>
      <c r="F368" s="238"/>
      <c r="G368" s="238"/>
      <c r="H368" s="243"/>
      <c r="I368" s="247"/>
      <c r="J368" s="243"/>
      <c r="K368" s="243"/>
      <c r="L368" s="238"/>
      <c r="M368" s="244"/>
      <c r="N368" s="243"/>
      <c r="O368" s="243"/>
      <c r="P368" s="243"/>
      <c r="Q368" s="243"/>
      <c r="R368" s="243"/>
      <c r="S368" s="243"/>
      <c r="T368" s="243"/>
      <c r="U368" s="186" t="s">
        <v>423</v>
      </c>
      <c r="V368" s="191"/>
      <c r="W368" s="191">
        <f>0.3*W366</f>
        <v>3.375</v>
      </c>
      <c r="X368" s="164" t="s">
        <v>396</v>
      </c>
      <c r="Y368" s="161">
        <v>3</v>
      </c>
      <c r="Z368" s="183">
        <v>200000</v>
      </c>
      <c r="AA368" s="214"/>
      <c r="AB368" s="216">
        <v>0.5</v>
      </c>
      <c r="AC368" s="161">
        <f t="shared" ref="AC368:AC369" si="58">Y368*Z368*AB368</f>
        <v>300000</v>
      </c>
      <c r="AD368" s="243"/>
      <c r="AE368" s="228"/>
      <c r="AF368" s="155"/>
      <c r="AG368" s="153"/>
      <c r="AH368" s="153"/>
      <c r="AI368" s="153"/>
      <c r="AJ368" s="153"/>
    </row>
    <row r="369" spans="1:36" s="19" customFormat="1" ht="21.75" customHeight="1">
      <c r="A369" s="230"/>
      <c r="B369" s="248"/>
      <c r="C369" s="238"/>
      <c r="D369" s="238"/>
      <c r="E369" s="238"/>
      <c r="F369" s="238"/>
      <c r="G369" s="238"/>
      <c r="H369" s="243"/>
      <c r="I369" s="247"/>
      <c r="J369" s="243"/>
      <c r="K369" s="243"/>
      <c r="L369" s="238"/>
      <c r="M369" s="244"/>
      <c r="N369" s="243"/>
      <c r="O369" s="243"/>
      <c r="P369" s="243"/>
      <c r="Q369" s="243"/>
      <c r="R369" s="243"/>
      <c r="S369" s="243"/>
      <c r="T369" s="243"/>
      <c r="U369" s="186" t="s">
        <v>424</v>
      </c>
      <c r="V369" s="191"/>
      <c r="W369" s="191"/>
      <c r="X369" s="164" t="s">
        <v>396</v>
      </c>
      <c r="Y369" s="161">
        <f>Y367-Y368</f>
        <v>8</v>
      </c>
      <c r="Z369" s="183">
        <v>200000</v>
      </c>
      <c r="AA369" s="214"/>
      <c r="AB369" s="216">
        <v>0</v>
      </c>
      <c r="AC369" s="161">
        <f t="shared" si="58"/>
        <v>0</v>
      </c>
      <c r="AD369" s="243"/>
      <c r="AE369" s="228"/>
      <c r="AF369" s="155"/>
      <c r="AG369" s="153"/>
      <c r="AH369" s="153"/>
      <c r="AI369" s="153"/>
      <c r="AJ369" s="153"/>
    </row>
    <row r="370" spans="1:36" s="19" customFormat="1" ht="34.5" customHeight="1">
      <c r="A370" s="230"/>
      <c r="B370" s="248"/>
      <c r="C370" s="238"/>
      <c r="D370" s="238"/>
      <c r="E370" s="238"/>
      <c r="F370" s="238"/>
      <c r="G370" s="238"/>
      <c r="H370" s="243"/>
      <c r="I370" s="247"/>
      <c r="J370" s="243"/>
      <c r="K370" s="243"/>
      <c r="L370" s="238"/>
      <c r="M370" s="244"/>
      <c r="N370" s="243"/>
      <c r="O370" s="243"/>
      <c r="P370" s="243"/>
      <c r="Q370" s="243"/>
      <c r="R370" s="243"/>
      <c r="S370" s="243"/>
      <c r="T370" s="243"/>
      <c r="U370" s="182" t="s">
        <v>450</v>
      </c>
      <c r="V370" s="191"/>
      <c r="W370" s="191"/>
      <c r="X370" s="164" t="s">
        <v>396</v>
      </c>
      <c r="Y370" s="161">
        <v>5</v>
      </c>
      <c r="Z370" s="183"/>
      <c r="AA370" s="209"/>
      <c r="AB370" s="197"/>
      <c r="AC370" s="161"/>
      <c r="AD370" s="243"/>
      <c r="AE370" s="228"/>
      <c r="AF370" s="155"/>
      <c r="AG370" s="153"/>
      <c r="AH370" s="153"/>
      <c r="AI370" s="153"/>
      <c r="AJ370" s="153"/>
    </row>
    <row r="371" spans="1:36" s="19" customFormat="1" ht="21.75" customHeight="1">
      <c r="A371" s="230"/>
      <c r="B371" s="248"/>
      <c r="C371" s="238"/>
      <c r="D371" s="238"/>
      <c r="E371" s="238"/>
      <c r="F371" s="238"/>
      <c r="G371" s="238"/>
      <c r="H371" s="243"/>
      <c r="I371" s="247"/>
      <c r="J371" s="243"/>
      <c r="K371" s="243"/>
      <c r="L371" s="238"/>
      <c r="M371" s="244"/>
      <c r="N371" s="243"/>
      <c r="O371" s="243"/>
      <c r="P371" s="243"/>
      <c r="Q371" s="243"/>
      <c r="R371" s="243"/>
      <c r="S371" s="243"/>
      <c r="T371" s="243"/>
      <c r="U371" s="186" t="s">
        <v>486</v>
      </c>
      <c r="V371" s="191"/>
      <c r="W371" s="191"/>
      <c r="X371" s="164" t="s">
        <v>396</v>
      </c>
      <c r="Y371" s="161">
        <v>5</v>
      </c>
      <c r="Z371" s="183">
        <v>150000</v>
      </c>
      <c r="AA371" s="209"/>
      <c r="AB371" s="197">
        <v>0</v>
      </c>
      <c r="AC371" s="161">
        <f>Y371*Z371*AB371</f>
        <v>0</v>
      </c>
      <c r="AD371" s="243"/>
      <c r="AE371" s="228"/>
      <c r="AF371" s="155"/>
      <c r="AG371" s="153"/>
      <c r="AH371" s="153"/>
      <c r="AI371" s="153"/>
      <c r="AJ371" s="153"/>
    </row>
    <row r="372" spans="1:36" s="19" customFormat="1" ht="20.25" customHeight="1">
      <c r="A372" s="230">
        <v>48</v>
      </c>
      <c r="B372" s="248" t="s">
        <v>549</v>
      </c>
      <c r="C372" s="238" t="s">
        <v>33</v>
      </c>
      <c r="D372" s="238">
        <v>64</v>
      </c>
      <c r="E372" s="238">
        <v>494</v>
      </c>
      <c r="F372" s="238">
        <v>648.1</v>
      </c>
      <c r="G372" s="238" t="s">
        <v>28</v>
      </c>
      <c r="H372" s="243">
        <v>648</v>
      </c>
      <c r="I372" s="247">
        <f>F372-H372</f>
        <v>0.10000000000002274</v>
      </c>
      <c r="J372" s="243">
        <v>648</v>
      </c>
      <c r="K372" s="243">
        <v>720</v>
      </c>
      <c r="L372" s="238"/>
      <c r="M372" s="244">
        <f>J372/K372*100</f>
        <v>90</v>
      </c>
      <c r="N372" s="243">
        <v>12</v>
      </c>
      <c r="O372" s="243">
        <v>3</v>
      </c>
      <c r="P372" s="243">
        <v>80000</v>
      </c>
      <c r="Q372" s="243">
        <f>P372*J372</f>
        <v>51840000</v>
      </c>
      <c r="R372" s="243">
        <f>Q372*3</f>
        <v>155520000</v>
      </c>
      <c r="S372" s="243">
        <f>N372*O372*S6</f>
        <v>18360000</v>
      </c>
      <c r="T372" s="243">
        <f>SUM(Q372:S378)</f>
        <v>225720000</v>
      </c>
      <c r="U372" s="210" t="s">
        <v>446</v>
      </c>
      <c r="V372" s="191"/>
      <c r="W372" s="191"/>
      <c r="X372" s="164" t="s">
        <v>0</v>
      </c>
      <c r="Y372" s="215">
        <v>486</v>
      </c>
      <c r="Z372" s="183">
        <v>180000</v>
      </c>
      <c r="AA372" s="209"/>
      <c r="AB372" s="197">
        <v>1</v>
      </c>
      <c r="AC372" s="161">
        <f>Y372*Z372*AB372</f>
        <v>87480000</v>
      </c>
      <c r="AD372" s="243">
        <f>SUM(AC372:AC378)</f>
        <v>96680000</v>
      </c>
      <c r="AE372" s="228">
        <f>T372+AD372</f>
        <v>322400000</v>
      </c>
      <c r="AF372" s="155"/>
      <c r="AG372" s="153"/>
      <c r="AH372" s="153"/>
      <c r="AI372" s="153"/>
      <c r="AJ372" s="153"/>
    </row>
    <row r="373" spans="1:36" s="19" customFormat="1" ht="36" customHeight="1">
      <c r="A373" s="230"/>
      <c r="B373" s="248"/>
      <c r="C373" s="238"/>
      <c r="D373" s="238"/>
      <c r="E373" s="238"/>
      <c r="F373" s="238"/>
      <c r="G373" s="238"/>
      <c r="H373" s="243"/>
      <c r="I373" s="247"/>
      <c r="J373" s="243"/>
      <c r="K373" s="243"/>
      <c r="L373" s="238"/>
      <c r="M373" s="244"/>
      <c r="N373" s="243"/>
      <c r="O373" s="243"/>
      <c r="P373" s="243"/>
      <c r="Q373" s="243"/>
      <c r="R373" s="243"/>
      <c r="S373" s="243"/>
      <c r="T373" s="243"/>
      <c r="U373" s="182" t="s">
        <v>449</v>
      </c>
      <c r="V373" s="191">
        <v>4</v>
      </c>
      <c r="W373" s="191">
        <f>(J372-Y372)/V373</f>
        <v>40.5</v>
      </c>
      <c r="X373" s="164" t="s">
        <v>396</v>
      </c>
      <c r="Y373" s="161">
        <v>45</v>
      </c>
      <c r="Z373" s="183"/>
      <c r="AA373" s="209"/>
      <c r="AB373" s="197"/>
      <c r="AC373" s="161"/>
      <c r="AD373" s="243"/>
      <c r="AE373" s="228"/>
      <c r="AF373" s="155" t="s">
        <v>398</v>
      </c>
      <c r="AG373" s="153"/>
      <c r="AH373" s="153"/>
      <c r="AI373" s="153"/>
      <c r="AJ373" s="153"/>
    </row>
    <row r="374" spans="1:36" s="19" customFormat="1" ht="26.25" customHeight="1">
      <c r="A374" s="230"/>
      <c r="B374" s="248"/>
      <c r="C374" s="238"/>
      <c r="D374" s="238"/>
      <c r="E374" s="238"/>
      <c r="F374" s="238"/>
      <c r="G374" s="238"/>
      <c r="H374" s="243"/>
      <c r="I374" s="247"/>
      <c r="J374" s="243"/>
      <c r="K374" s="243"/>
      <c r="L374" s="238"/>
      <c r="M374" s="244"/>
      <c r="N374" s="243"/>
      <c r="O374" s="243"/>
      <c r="P374" s="243"/>
      <c r="Q374" s="243"/>
      <c r="R374" s="243"/>
      <c r="S374" s="243"/>
      <c r="T374" s="243"/>
      <c r="U374" s="186" t="s">
        <v>421</v>
      </c>
      <c r="V374" s="191"/>
      <c r="W374" s="191"/>
      <c r="X374" s="164" t="s">
        <v>396</v>
      </c>
      <c r="Y374" s="161">
        <v>41</v>
      </c>
      <c r="Z374" s="183">
        <v>200000</v>
      </c>
      <c r="AA374" s="209"/>
      <c r="AB374" s="197">
        <v>1</v>
      </c>
      <c r="AC374" s="161">
        <f>Y374*Z374*AB374</f>
        <v>8200000</v>
      </c>
      <c r="AD374" s="243"/>
      <c r="AE374" s="228"/>
      <c r="AF374" s="155"/>
      <c r="AG374" s="153"/>
      <c r="AH374" s="153"/>
      <c r="AI374" s="153"/>
      <c r="AJ374" s="153"/>
    </row>
    <row r="375" spans="1:36" s="19" customFormat="1" ht="26.25" customHeight="1">
      <c r="A375" s="230"/>
      <c r="B375" s="248"/>
      <c r="C375" s="238"/>
      <c r="D375" s="238"/>
      <c r="E375" s="238"/>
      <c r="F375" s="238"/>
      <c r="G375" s="238"/>
      <c r="H375" s="243"/>
      <c r="I375" s="247"/>
      <c r="J375" s="243"/>
      <c r="K375" s="243"/>
      <c r="L375" s="238"/>
      <c r="M375" s="244"/>
      <c r="N375" s="243"/>
      <c r="O375" s="243"/>
      <c r="P375" s="243"/>
      <c r="Q375" s="243"/>
      <c r="R375" s="243"/>
      <c r="S375" s="243"/>
      <c r="T375" s="243"/>
      <c r="U375" s="186" t="s">
        <v>423</v>
      </c>
      <c r="V375" s="191"/>
      <c r="W375" s="191">
        <f>0.3*W373</f>
        <v>12.15</v>
      </c>
      <c r="X375" s="164" t="s">
        <v>396</v>
      </c>
      <c r="Y375" s="161">
        <v>4</v>
      </c>
      <c r="Z375" s="183">
        <v>200000</v>
      </c>
      <c r="AA375" s="214"/>
      <c r="AB375" s="216">
        <v>0.5</v>
      </c>
      <c r="AC375" s="161">
        <f t="shared" ref="AC375" si="59">Y375*Z375*AB375</f>
        <v>400000</v>
      </c>
      <c r="AD375" s="243"/>
      <c r="AE375" s="228"/>
      <c r="AF375" s="155"/>
      <c r="AG375" s="156"/>
      <c r="AH375" s="153"/>
      <c r="AI375" s="153"/>
      <c r="AJ375" s="153"/>
    </row>
    <row r="376" spans="1:36" s="19" customFormat="1" ht="30.75" customHeight="1">
      <c r="A376" s="230"/>
      <c r="B376" s="248"/>
      <c r="C376" s="238"/>
      <c r="D376" s="238"/>
      <c r="E376" s="238"/>
      <c r="F376" s="238"/>
      <c r="G376" s="238"/>
      <c r="H376" s="243"/>
      <c r="I376" s="247"/>
      <c r="J376" s="243"/>
      <c r="K376" s="243"/>
      <c r="L376" s="238"/>
      <c r="M376" s="244"/>
      <c r="N376" s="243"/>
      <c r="O376" s="243"/>
      <c r="P376" s="243"/>
      <c r="Q376" s="243"/>
      <c r="R376" s="243"/>
      <c r="S376" s="243"/>
      <c r="T376" s="243"/>
      <c r="U376" s="182" t="s">
        <v>450</v>
      </c>
      <c r="V376" s="191"/>
      <c r="W376" s="191"/>
      <c r="X376" s="164" t="s">
        <v>396</v>
      </c>
      <c r="Y376" s="161">
        <v>20</v>
      </c>
      <c r="Z376" s="183"/>
      <c r="AA376" s="209"/>
      <c r="AB376" s="197"/>
      <c r="AC376" s="161"/>
      <c r="AD376" s="243"/>
      <c r="AE376" s="228"/>
      <c r="AF376" s="155"/>
      <c r="AG376" s="153"/>
      <c r="AH376" s="153"/>
      <c r="AI376" s="153"/>
      <c r="AJ376" s="153"/>
    </row>
    <row r="377" spans="1:36" s="19" customFormat="1" ht="30.75" customHeight="1">
      <c r="A377" s="230"/>
      <c r="B377" s="248"/>
      <c r="C377" s="238"/>
      <c r="D377" s="238"/>
      <c r="E377" s="238"/>
      <c r="F377" s="238"/>
      <c r="G377" s="238"/>
      <c r="H377" s="243"/>
      <c r="I377" s="247"/>
      <c r="J377" s="243"/>
      <c r="K377" s="243"/>
      <c r="L377" s="238"/>
      <c r="M377" s="244"/>
      <c r="N377" s="243"/>
      <c r="O377" s="243"/>
      <c r="P377" s="243"/>
      <c r="Q377" s="243"/>
      <c r="R377" s="243"/>
      <c r="S377" s="243"/>
      <c r="T377" s="243"/>
      <c r="U377" s="186" t="s">
        <v>423</v>
      </c>
      <c r="V377" s="191"/>
      <c r="W377" s="191"/>
      <c r="X377" s="164" t="s">
        <v>396</v>
      </c>
      <c r="Y377" s="161">
        <v>8</v>
      </c>
      <c r="Z377" s="183">
        <v>150000</v>
      </c>
      <c r="AA377" s="214"/>
      <c r="AB377" s="216">
        <v>0.5</v>
      </c>
      <c r="AC377" s="161">
        <f t="shared" ref="AC377:AC379" si="60">Y377*Z377*AB377</f>
        <v>600000</v>
      </c>
      <c r="AD377" s="243"/>
      <c r="AE377" s="228"/>
      <c r="AF377" s="155"/>
      <c r="AG377" s="153"/>
      <c r="AH377" s="153"/>
      <c r="AI377" s="153"/>
      <c r="AJ377" s="153"/>
    </row>
    <row r="378" spans="1:36" s="19" customFormat="1" ht="21.75" customHeight="1">
      <c r="A378" s="230"/>
      <c r="B378" s="248"/>
      <c r="C378" s="238"/>
      <c r="D378" s="238"/>
      <c r="E378" s="238"/>
      <c r="F378" s="238"/>
      <c r="G378" s="238"/>
      <c r="H378" s="243"/>
      <c r="I378" s="247"/>
      <c r="J378" s="243"/>
      <c r="K378" s="243"/>
      <c r="L378" s="238"/>
      <c r="M378" s="244"/>
      <c r="N378" s="243"/>
      <c r="O378" s="243"/>
      <c r="P378" s="243"/>
      <c r="Q378" s="243"/>
      <c r="R378" s="243"/>
      <c r="S378" s="243"/>
      <c r="T378" s="243"/>
      <c r="U378" s="186" t="s">
        <v>424</v>
      </c>
      <c r="V378" s="191"/>
      <c r="W378" s="191"/>
      <c r="X378" s="164" t="s">
        <v>396</v>
      </c>
      <c r="Y378" s="161">
        <f>Y376-Y377</f>
        <v>12</v>
      </c>
      <c r="Z378" s="183">
        <v>150000</v>
      </c>
      <c r="AA378" s="214"/>
      <c r="AB378" s="216">
        <v>0</v>
      </c>
      <c r="AC378" s="161">
        <f t="shared" si="60"/>
        <v>0</v>
      </c>
      <c r="AD378" s="243"/>
      <c r="AE378" s="228"/>
      <c r="AF378" s="155"/>
      <c r="AG378" s="153"/>
      <c r="AH378" s="153"/>
      <c r="AI378" s="153"/>
      <c r="AJ378" s="153"/>
    </row>
    <row r="379" spans="1:36" s="19" customFormat="1" ht="26.25" customHeight="1">
      <c r="A379" s="230">
        <v>49</v>
      </c>
      <c r="B379" s="248" t="s">
        <v>550</v>
      </c>
      <c r="C379" s="238" t="s">
        <v>33</v>
      </c>
      <c r="D379" s="238">
        <v>64</v>
      </c>
      <c r="E379" s="238">
        <v>493</v>
      </c>
      <c r="F379" s="238">
        <v>469.7</v>
      </c>
      <c r="G379" s="238" t="s">
        <v>28</v>
      </c>
      <c r="H379" s="243">
        <v>468</v>
      </c>
      <c r="I379" s="247">
        <f>F379-H379</f>
        <v>1.6999999999999886</v>
      </c>
      <c r="J379" s="243">
        <v>468</v>
      </c>
      <c r="K379" s="243">
        <v>720</v>
      </c>
      <c r="L379" s="238"/>
      <c r="M379" s="244">
        <f>J379/K379*100</f>
        <v>65</v>
      </c>
      <c r="N379" s="243">
        <v>6</v>
      </c>
      <c r="O379" s="243">
        <v>2</v>
      </c>
      <c r="P379" s="243">
        <v>80000</v>
      </c>
      <c r="Q379" s="243">
        <f>P379*J379</f>
        <v>37440000</v>
      </c>
      <c r="R379" s="243">
        <f>Q379*3</f>
        <v>112320000</v>
      </c>
      <c r="S379" s="243">
        <f>N379*O379*S6</f>
        <v>6120000</v>
      </c>
      <c r="T379" s="243">
        <f>SUM(Q379:S385)</f>
        <v>155880000</v>
      </c>
      <c r="U379" s="210" t="s">
        <v>446</v>
      </c>
      <c r="V379" s="191"/>
      <c r="W379" s="191"/>
      <c r="X379" s="164" t="s">
        <v>0</v>
      </c>
      <c r="Y379" s="215">
        <v>351</v>
      </c>
      <c r="Z379" s="183">
        <v>180000</v>
      </c>
      <c r="AA379" s="209"/>
      <c r="AB379" s="197">
        <v>1</v>
      </c>
      <c r="AC379" s="161">
        <f t="shared" si="60"/>
        <v>63180000</v>
      </c>
      <c r="AD379" s="243">
        <f>SUM(AC379:AC385)</f>
        <v>69880000</v>
      </c>
      <c r="AE379" s="228">
        <f>T379+AD379</f>
        <v>225760000</v>
      </c>
      <c r="AF379" s="155"/>
      <c r="AG379" s="153"/>
      <c r="AH379" s="153"/>
      <c r="AI379" s="153"/>
      <c r="AJ379" s="153"/>
    </row>
    <row r="380" spans="1:36" s="19" customFormat="1" ht="36" customHeight="1">
      <c r="A380" s="230"/>
      <c r="B380" s="248"/>
      <c r="C380" s="238"/>
      <c r="D380" s="238"/>
      <c r="E380" s="238"/>
      <c r="F380" s="238"/>
      <c r="G380" s="238"/>
      <c r="H380" s="243"/>
      <c r="I380" s="247"/>
      <c r="J380" s="243"/>
      <c r="K380" s="243"/>
      <c r="L380" s="238"/>
      <c r="M380" s="244"/>
      <c r="N380" s="243"/>
      <c r="O380" s="243"/>
      <c r="P380" s="243"/>
      <c r="Q380" s="243"/>
      <c r="R380" s="243"/>
      <c r="S380" s="243"/>
      <c r="T380" s="243"/>
      <c r="U380" s="182" t="s">
        <v>449</v>
      </c>
      <c r="V380" s="191">
        <v>4</v>
      </c>
      <c r="W380" s="191">
        <f>(J379-Y379)/V380</f>
        <v>29.25</v>
      </c>
      <c r="X380" s="164" t="s">
        <v>396</v>
      </c>
      <c r="Y380" s="161">
        <v>45</v>
      </c>
      <c r="Z380" s="183"/>
      <c r="AA380" s="209"/>
      <c r="AB380" s="197"/>
      <c r="AC380" s="161"/>
      <c r="AD380" s="243"/>
      <c r="AE380" s="228"/>
      <c r="AF380" s="155" t="s">
        <v>398</v>
      </c>
      <c r="AG380" s="153"/>
      <c r="AH380" s="153"/>
      <c r="AI380" s="153"/>
      <c r="AJ380" s="153"/>
    </row>
    <row r="381" spans="1:36" s="19" customFormat="1" ht="21.75" customHeight="1">
      <c r="A381" s="230"/>
      <c r="B381" s="248"/>
      <c r="C381" s="238"/>
      <c r="D381" s="238"/>
      <c r="E381" s="238"/>
      <c r="F381" s="238"/>
      <c r="G381" s="238"/>
      <c r="H381" s="243"/>
      <c r="I381" s="247"/>
      <c r="J381" s="243"/>
      <c r="K381" s="243"/>
      <c r="L381" s="238"/>
      <c r="M381" s="244"/>
      <c r="N381" s="243"/>
      <c r="O381" s="243"/>
      <c r="P381" s="243"/>
      <c r="Q381" s="243"/>
      <c r="R381" s="243"/>
      <c r="S381" s="243"/>
      <c r="T381" s="243"/>
      <c r="U381" s="186" t="s">
        <v>421</v>
      </c>
      <c r="V381" s="191"/>
      <c r="W381" s="191"/>
      <c r="X381" s="164" t="s">
        <v>396</v>
      </c>
      <c r="Y381" s="161">
        <v>29</v>
      </c>
      <c r="Z381" s="183">
        <v>200000</v>
      </c>
      <c r="AA381" s="209"/>
      <c r="AB381" s="197">
        <v>1</v>
      </c>
      <c r="AC381" s="161">
        <f>Y381*Z381*AB381</f>
        <v>5800000</v>
      </c>
      <c r="AD381" s="243"/>
      <c r="AE381" s="228"/>
      <c r="AF381" s="155"/>
      <c r="AG381" s="153"/>
      <c r="AH381" s="153"/>
      <c r="AI381" s="153"/>
      <c r="AJ381" s="153"/>
    </row>
    <row r="382" spans="1:36" s="19" customFormat="1" ht="21.75" customHeight="1">
      <c r="A382" s="230"/>
      <c r="B382" s="248"/>
      <c r="C382" s="238"/>
      <c r="D382" s="238"/>
      <c r="E382" s="238"/>
      <c r="F382" s="238"/>
      <c r="G382" s="238"/>
      <c r="H382" s="243"/>
      <c r="I382" s="247"/>
      <c r="J382" s="243"/>
      <c r="K382" s="243"/>
      <c r="L382" s="238"/>
      <c r="M382" s="244"/>
      <c r="N382" s="243"/>
      <c r="O382" s="243"/>
      <c r="P382" s="243"/>
      <c r="Q382" s="243"/>
      <c r="R382" s="243"/>
      <c r="S382" s="243"/>
      <c r="T382" s="243"/>
      <c r="U382" s="186" t="s">
        <v>423</v>
      </c>
      <c r="V382" s="191"/>
      <c r="W382" s="191">
        <f>0.3*W380</f>
        <v>8.7750000000000004</v>
      </c>
      <c r="X382" s="164" t="s">
        <v>396</v>
      </c>
      <c r="Y382" s="161">
        <v>9</v>
      </c>
      <c r="Z382" s="183">
        <v>200000</v>
      </c>
      <c r="AA382" s="214"/>
      <c r="AB382" s="216">
        <v>0.5</v>
      </c>
      <c r="AC382" s="161">
        <f t="shared" ref="AC382:AC383" si="61">Y382*Z382*AB382</f>
        <v>900000</v>
      </c>
      <c r="AD382" s="243"/>
      <c r="AE382" s="228"/>
      <c r="AF382" s="155"/>
      <c r="AG382" s="153"/>
      <c r="AH382" s="153"/>
      <c r="AI382" s="153"/>
      <c r="AJ382" s="153"/>
    </row>
    <row r="383" spans="1:36" s="19" customFormat="1" ht="21.75" customHeight="1">
      <c r="A383" s="230"/>
      <c r="B383" s="248"/>
      <c r="C383" s="238"/>
      <c r="D383" s="238"/>
      <c r="E383" s="238"/>
      <c r="F383" s="238"/>
      <c r="G383" s="238"/>
      <c r="H383" s="243"/>
      <c r="I383" s="247"/>
      <c r="J383" s="243"/>
      <c r="K383" s="243"/>
      <c r="L383" s="238"/>
      <c r="M383" s="244"/>
      <c r="N383" s="243"/>
      <c r="O383" s="243"/>
      <c r="P383" s="243"/>
      <c r="Q383" s="243"/>
      <c r="R383" s="243"/>
      <c r="S383" s="243"/>
      <c r="T383" s="243"/>
      <c r="U383" s="186" t="s">
        <v>424</v>
      </c>
      <c r="V383" s="191"/>
      <c r="W383" s="191"/>
      <c r="X383" s="164" t="s">
        <v>396</v>
      </c>
      <c r="Y383" s="161">
        <f>Y381-Y382</f>
        <v>20</v>
      </c>
      <c r="Z383" s="183">
        <v>200000</v>
      </c>
      <c r="AA383" s="214"/>
      <c r="AB383" s="216">
        <v>0</v>
      </c>
      <c r="AC383" s="161">
        <f t="shared" si="61"/>
        <v>0</v>
      </c>
      <c r="AD383" s="243"/>
      <c r="AE383" s="228"/>
      <c r="AF383" s="155"/>
      <c r="AG383" s="153"/>
      <c r="AH383" s="153"/>
      <c r="AI383" s="153"/>
      <c r="AJ383" s="153"/>
    </row>
    <row r="384" spans="1:36" s="19" customFormat="1" ht="30.75" customHeight="1">
      <c r="A384" s="230"/>
      <c r="B384" s="248"/>
      <c r="C384" s="238"/>
      <c r="D384" s="238"/>
      <c r="E384" s="238"/>
      <c r="F384" s="238"/>
      <c r="G384" s="238"/>
      <c r="H384" s="243"/>
      <c r="I384" s="247"/>
      <c r="J384" s="243"/>
      <c r="K384" s="243"/>
      <c r="L384" s="238"/>
      <c r="M384" s="244"/>
      <c r="N384" s="243"/>
      <c r="O384" s="243"/>
      <c r="P384" s="243"/>
      <c r="Q384" s="243"/>
      <c r="R384" s="243"/>
      <c r="S384" s="243"/>
      <c r="T384" s="243"/>
      <c r="U384" s="182" t="s">
        <v>450</v>
      </c>
      <c r="V384" s="191"/>
      <c r="W384" s="191"/>
      <c r="X384" s="164" t="s">
        <v>396</v>
      </c>
      <c r="Y384" s="161">
        <v>30</v>
      </c>
      <c r="Z384" s="183"/>
      <c r="AA384" s="209"/>
      <c r="AB384" s="197"/>
      <c r="AC384" s="161"/>
      <c r="AD384" s="243"/>
      <c r="AE384" s="228"/>
      <c r="AF384" s="155"/>
      <c r="AG384" s="153"/>
      <c r="AH384" s="153"/>
      <c r="AI384" s="153"/>
      <c r="AJ384" s="153"/>
    </row>
    <row r="385" spans="1:36" s="19" customFormat="1" ht="21.75" customHeight="1">
      <c r="A385" s="230"/>
      <c r="B385" s="248"/>
      <c r="C385" s="238"/>
      <c r="D385" s="238"/>
      <c r="E385" s="238"/>
      <c r="F385" s="238"/>
      <c r="G385" s="238"/>
      <c r="H385" s="243"/>
      <c r="I385" s="247"/>
      <c r="J385" s="243"/>
      <c r="K385" s="243"/>
      <c r="L385" s="238"/>
      <c r="M385" s="244"/>
      <c r="N385" s="243"/>
      <c r="O385" s="243"/>
      <c r="P385" s="243"/>
      <c r="Q385" s="243"/>
      <c r="R385" s="243"/>
      <c r="S385" s="243"/>
      <c r="T385" s="243"/>
      <c r="U385" s="186" t="s">
        <v>424</v>
      </c>
      <c r="V385" s="191"/>
      <c r="W385" s="191"/>
      <c r="X385" s="164" t="s">
        <v>396</v>
      </c>
      <c r="Y385" s="161">
        <v>30</v>
      </c>
      <c r="Z385" s="183">
        <v>150000</v>
      </c>
      <c r="AA385" s="214"/>
      <c r="AB385" s="216">
        <v>0</v>
      </c>
      <c r="AC385" s="161">
        <f t="shared" ref="AC385:AC389" si="62">Y385*Z385*AB385</f>
        <v>0</v>
      </c>
      <c r="AD385" s="243"/>
      <c r="AE385" s="228"/>
      <c r="AF385" s="155"/>
      <c r="AG385" s="153"/>
      <c r="AH385" s="153"/>
      <c r="AI385" s="153"/>
      <c r="AJ385" s="153"/>
    </row>
    <row r="386" spans="1:36" s="19" customFormat="1" ht="28.5" customHeight="1">
      <c r="A386" s="230">
        <v>50</v>
      </c>
      <c r="B386" s="248" t="s">
        <v>636</v>
      </c>
      <c r="C386" s="238" t="s">
        <v>33</v>
      </c>
      <c r="D386" s="238">
        <v>64</v>
      </c>
      <c r="E386" s="238">
        <v>491</v>
      </c>
      <c r="F386" s="238">
        <v>1055.3</v>
      </c>
      <c r="G386" s="238" t="s">
        <v>28</v>
      </c>
      <c r="H386" s="247">
        <v>1055.7</v>
      </c>
      <c r="I386" s="247">
        <f>F386-H386</f>
        <v>-0.40000000000009095</v>
      </c>
      <c r="J386" s="247">
        <v>1055.7</v>
      </c>
      <c r="K386" s="243">
        <v>1800</v>
      </c>
      <c r="L386" s="238"/>
      <c r="M386" s="244">
        <f>J386/K386*100</f>
        <v>58.650000000000006</v>
      </c>
      <c r="N386" s="243">
        <v>6</v>
      </c>
      <c r="O386" s="243">
        <v>4</v>
      </c>
      <c r="P386" s="243">
        <v>80000</v>
      </c>
      <c r="Q386" s="243">
        <f>P386*J386</f>
        <v>84456000</v>
      </c>
      <c r="R386" s="243">
        <f>Q386*3</f>
        <v>253368000</v>
      </c>
      <c r="S386" s="243">
        <f>N386*O386*S6</f>
        <v>12240000</v>
      </c>
      <c r="T386" s="243">
        <f>SUM(Q386:S387)</f>
        <v>350064000</v>
      </c>
      <c r="U386" s="210" t="s">
        <v>446</v>
      </c>
      <c r="V386" s="191"/>
      <c r="W386" s="191"/>
      <c r="X386" s="164" t="s">
        <v>0</v>
      </c>
      <c r="Y386" s="215">
        <v>1055</v>
      </c>
      <c r="Z386" s="183">
        <v>180000</v>
      </c>
      <c r="AA386" s="209"/>
      <c r="AB386" s="197">
        <v>1</v>
      </c>
      <c r="AC386" s="161">
        <f t="shared" si="62"/>
        <v>189900000</v>
      </c>
      <c r="AD386" s="243">
        <f>SUM(AC386:AC387)</f>
        <v>189900000</v>
      </c>
      <c r="AE386" s="228">
        <f>T386+AD386</f>
        <v>539964000</v>
      </c>
      <c r="AF386" s="155"/>
      <c r="AG386" s="153"/>
      <c r="AH386" s="153"/>
      <c r="AI386" s="153"/>
      <c r="AJ386" s="153"/>
    </row>
    <row r="387" spans="1:36" s="19" customFormat="1" ht="28.5" customHeight="1">
      <c r="A387" s="230"/>
      <c r="B387" s="248"/>
      <c r="C387" s="238"/>
      <c r="D387" s="238"/>
      <c r="E387" s="238"/>
      <c r="F387" s="238"/>
      <c r="G387" s="238"/>
      <c r="H387" s="247"/>
      <c r="I387" s="247"/>
      <c r="J387" s="247"/>
      <c r="K387" s="243"/>
      <c r="L387" s="238"/>
      <c r="M387" s="244"/>
      <c r="N387" s="243"/>
      <c r="O387" s="243"/>
      <c r="P387" s="243"/>
      <c r="Q387" s="243"/>
      <c r="R387" s="243"/>
      <c r="S387" s="243"/>
      <c r="T387" s="243"/>
      <c r="U387" s="173" t="s">
        <v>504</v>
      </c>
      <c r="V387" s="191"/>
      <c r="W387" s="191"/>
      <c r="X387" s="164" t="s">
        <v>399</v>
      </c>
      <c r="Y387" s="192">
        <v>1</v>
      </c>
      <c r="Z387" s="183"/>
      <c r="AA387" s="209"/>
      <c r="AB387" s="216">
        <v>0</v>
      </c>
      <c r="AC387" s="161">
        <f t="shared" si="62"/>
        <v>0</v>
      </c>
      <c r="AD387" s="243"/>
      <c r="AE387" s="228"/>
      <c r="AF387" s="155"/>
      <c r="AG387" s="153"/>
      <c r="AH387" s="153"/>
      <c r="AI387" s="153"/>
      <c r="AJ387" s="153"/>
    </row>
    <row r="388" spans="1:36" s="3" customFormat="1" ht="28.5" customHeight="1">
      <c r="A388" s="230">
        <v>51</v>
      </c>
      <c r="B388" s="248" t="s">
        <v>551</v>
      </c>
      <c r="C388" s="238" t="s">
        <v>33</v>
      </c>
      <c r="D388" s="238">
        <v>64</v>
      </c>
      <c r="E388" s="238">
        <v>490</v>
      </c>
      <c r="F388" s="238">
        <v>1100.9000000000001</v>
      </c>
      <c r="G388" s="238" t="s">
        <v>28</v>
      </c>
      <c r="H388" s="243">
        <v>1101</v>
      </c>
      <c r="I388" s="247">
        <f>F388-H388</f>
        <v>-9.9999999999909051E-2</v>
      </c>
      <c r="J388" s="243">
        <v>1101</v>
      </c>
      <c r="K388" s="243">
        <v>2880</v>
      </c>
      <c r="L388" s="238"/>
      <c r="M388" s="244">
        <f>J388/K388*100</f>
        <v>38.229166666666664</v>
      </c>
      <c r="N388" s="243">
        <v>6</v>
      </c>
      <c r="O388" s="243">
        <v>8</v>
      </c>
      <c r="P388" s="243">
        <v>80000</v>
      </c>
      <c r="Q388" s="243">
        <f>P388*J388</f>
        <v>88080000</v>
      </c>
      <c r="R388" s="243">
        <f>Q388*3</f>
        <v>264240000</v>
      </c>
      <c r="S388" s="243">
        <f>N388*O388*S6</f>
        <v>24480000</v>
      </c>
      <c r="T388" s="243">
        <f>SUM(Q388:S402)</f>
        <v>376800000</v>
      </c>
      <c r="U388" s="210" t="s">
        <v>446</v>
      </c>
      <c r="V388" s="191"/>
      <c r="W388" s="191"/>
      <c r="X388" s="164" t="s">
        <v>0</v>
      </c>
      <c r="Y388" s="215">
        <v>400</v>
      </c>
      <c r="Z388" s="183">
        <v>180000</v>
      </c>
      <c r="AA388" s="209"/>
      <c r="AB388" s="197">
        <v>1</v>
      </c>
      <c r="AC388" s="161">
        <f t="shared" si="62"/>
        <v>72000000</v>
      </c>
      <c r="AD388" s="243">
        <f>SUM(AC388:AC402)</f>
        <v>181640000</v>
      </c>
      <c r="AE388" s="228">
        <f>T388+AD388</f>
        <v>558440000</v>
      </c>
      <c r="AF388" s="155"/>
      <c r="AG388" s="153"/>
      <c r="AH388" s="153"/>
      <c r="AI388" s="153"/>
      <c r="AJ388" s="153"/>
    </row>
    <row r="389" spans="1:36" s="3" customFormat="1" ht="28.5" customHeight="1">
      <c r="A389" s="230"/>
      <c r="B389" s="248"/>
      <c r="C389" s="238"/>
      <c r="D389" s="238"/>
      <c r="E389" s="238"/>
      <c r="F389" s="238"/>
      <c r="G389" s="238"/>
      <c r="H389" s="243"/>
      <c r="I389" s="247"/>
      <c r="J389" s="243"/>
      <c r="K389" s="243"/>
      <c r="L389" s="238"/>
      <c r="M389" s="244"/>
      <c r="N389" s="243"/>
      <c r="O389" s="243"/>
      <c r="P389" s="243"/>
      <c r="Q389" s="243"/>
      <c r="R389" s="243"/>
      <c r="S389" s="243"/>
      <c r="T389" s="243"/>
      <c r="U389" s="210" t="s">
        <v>553</v>
      </c>
      <c r="V389" s="191"/>
      <c r="W389" s="191"/>
      <c r="X389" s="164" t="s">
        <v>0</v>
      </c>
      <c r="Y389" s="215">
        <v>273</v>
      </c>
      <c r="Z389" s="183">
        <v>200000</v>
      </c>
      <c r="AA389" s="209"/>
      <c r="AB389" s="197">
        <v>1</v>
      </c>
      <c r="AC389" s="161">
        <f t="shared" si="62"/>
        <v>54600000</v>
      </c>
      <c r="AD389" s="243"/>
      <c r="AE389" s="228"/>
      <c r="AF389" s="155"/>
      <c r="AG389" s="153"/>
      <c r="AH389" s="153"/>
      <c r="AI389" s="153"/>
      <c r="AJ389" s="153"/>
    </row>
    <row r="390" spans="1:36" s="3" customFormat="1" ht="35.25" customHeight="1">
      <c r="A390" s="230"/>
      <c r="B390" s="248"/>
      <c r="C390" s="238"/>
      <c r="D390" s="238"/>
      <c r="E390" s="238"/>
      <c r="F390" s="238"/>
      <c r="G390" s="238"/>
      <c r="H390" s="243"/>
      <c r="I390" s="247"/>
      <c r="J390" s="243"/>
      <c r="K390" s="243"/>
      <c r="L390" s="238"/>
      <c r="M390" s="244"/>
      <c r="N390" s="243"/>
      <c r="O390" s="243"/>
      <c r="P390" s="243"/>
      <c r="Q390" s="243"/>
      <c r="R390" s="243"/>
      <c r="S390" s="243"/>
      <c r="T390" s="243"/>
      <c r="U390" s="182" t="s">
        <v>554</v>
      </c>
      <c r="V390" s="191">
        <v>20</v>
      </c>
      <c r="W390" s="191">
        <f>(J388-Y388-Y389-26.1)/V390</f>
        <v>20.094999999999999</v>
      </c>
      <c r="X390" s="164" t="s">
        <v>2</v>
      </c>
      <c r="Y390" s="161">
        <v>20</v>
      </c>
      <c r="Z390" s="183"/>
      <c r="AA390" s="214"/>
      <c r="AB390" s="216"/>
      <c r="AC390" s="161"/>
      <c r="AD390" s="243"/>
      <c r="AE390" s="228"/>
      <c r="AF390" s="155" t="s">
        <v>552</v>
      </c>
      <c r="AG390" s="153"/>
      <c r="AH390" s="153"/>
      <c r="AI390" s="153"/>
      <c r="AJ390" s="153"/>
    </row>
    <row r="391" spans="1:36" s="3" customFormat="1" ht="23.25" customHeight="1">
      <c r="A391" s="230"/>
      <c r="B391" s="248"/>
      <c r="C391" s="238"/>
      <c r="D391" s="238"/>
      <c r="E391" s="238"/>
      <c r="F391" s="238"/>
      <c r="G391" s="238"/>
      <c r="H391" s="243"/>
      <c r="I391" s="247"/>
      <c r="J391" s="243"/>
      <c r="K391" s="243"/>
      <c r="L391" s="238"/>
      <c r="M391" s="244"/>
      <c r="N391" s="243"/>
      <c r="O391" s="243"/>
      <c r="P391" s="243"/>
      <c r="Q391" s="243"/>
      <c r="R391" s="243"/>
      <c r="S391" s="243"/>
      <c r="T391" s="243"/>
      <c r="U391" s="186" t="s">
        <v>421</v>
      </c>
      <c r="V391" s="191"/>
      <c r="W391" s="191"/>
      <c r="X391" s="164" t="s">
        <v>2</v>
      </c>
      <c r="Y391" s="161">
        <v>20</v>
      </c>
      <c r="Z391" s="183">
        <v>2500000</v>
      </c>
      <c r="AA391" s="214"/>
      <c r="AB391" s="216">
        <v>1</v>
      </c>
      <c r="AC391" s="161">
        <f>Y391*Z391*AB391</f>
        <v>50000000</v>
      </c>
      <c r="AD391" s="243"/>
      <c r="AE391" s="228"/>
      <c r="AF391" s="155"/>
      <c r="AG391" s="153"/>
      <c r="AH391" s="153"/>
      <c r="AI391" s="153"/>
      <c r="AJ391" s="153"/>
    </row>
    <row r="392" spans="1:36" s="3" customFormat="1" ht="35.25" customHeight="1">
      <c r="A392" s="230"/>
      <c r="B392" s="248"/>
      <c r="C392" s="238"/>
      <c r="D392" s="238"/>
      <c r="E392" s="238"/>
      <c r="F392" s="238"/>
      <c r="G392" s="238"/>
      <c r="H392" s="243"/>
      <c r="I392" s="247"/>
      <c r="J392" s="243"/>
      <c r="K392" s="243"/>
      <c r="L392" s="238"/>
      <c r="M392" s="244"/>
      <c r="N392" s="243"/>
      <c r="O392" s="243"/>
      <c r="P392" s="243"/>
      <c r="Q392" s="243"/>
      <c r="R392" s="243"/>
      <c r="S392" s="243"/>
      <c r="T392" s="243"/>
      <c r="U392" s="182" t="s">
        <v>555</v>
      </c>
      <c r="V392" s="191"/>
      <c r="W392" s="191"/>
      <c r="X392" s="164" t="s">
        <v>2</v>
      </c>
      <c r="Y392" s="161">
        <v>4</v>
      </c>
      <c r="Z392" s="183"/>
      <c r="AA392" s="214"/>
      <c r="AB392" s="216"/>
      <c r="AC392" s="161"/>
      <c r="AD392" s="243"/>
      <c r="AE392" s="228"/>
      <c r="AF392" s="155"/>
      <c r="AG392" s="153"/>
      <c r="AH392" s="153"/>
      <c r="AI392" s="153"/>
      <c r="AJ392" s="153"/>
    </row>
    <row r="393" spans="1:36" s="3" customFormat="1" ht="25.5" customHeight="1">
      <c r="A393" s="230"/>
      <c r="B393" s="248"/>
      <c r="C393" s="238"/>
      <c r="D393" s="238"/>
      <c r="E393" s="238"/>
      <c r="F393" s="238"/>
      <c r="G393" s="238"/>
      <c r="H393" s="243"/>
      <c r="I393" s="247"/>
      <c r="J393" s="243"/>
      <c r="K393" s="243"/>
      <c r="L393" s="238"/>
      <c r="M393" s="244"/>
      <c r="N393" s="243"/>
      <c r="O393" s="243"/>
      <c r="P393" s="243"/>
      <c r="Q393" s="243"/>
      <c r="R393" s="243"/>
      <c r="S393" s="243"/>
      <c r="T393" s="243"/>
      <c r="U393" s="186" t="s">
        <v>423</v>
      </c>
      <c r="V393" s="191"/>
      <c r="W393" s="191">
        <f>0.3*4</f>
        <v>1.2</v>
      </c>
      <c r="X393" s="164" t="s">
        <v>2</v>
      </c>
      <c r="Y393" s="161">
        <v>1</v>
      </c>
      <c r="Z393" s="183">
        <v>1800000</v>
      </c>
      <c r="AA393" s="214"/>
      <c r="AB393" s="216">
        <v>0.3</v>
      </c>
      <c r="AC393" s="161">
        <f t="shared" ref="AC393:AC394" si="63">Y393*Z393*AB393</f>
        <v>540000</v>
      </c>
      <c r="AD393" s="243"/>
      <c r="AE393" s="228"/>
      <c r="AF393" s="155"/>
      <c r="AG393" s="153"/>
      <c r="AH393" s="153"/>
      <c r="AI393" s="153"/>
      <c r="AJ393" s="153"/>
    </row>
    <row r="394" spans="1:36" s="3" customFormat="1" ht="25.5" customHeight="1">
      <c r="A394" s="230"/>
      <c r="B394" s="248"/>
      <c r="C394" s="238"/>
      <c r="D394" s="238"/>
      <c r="E394" s="238"/>
      <c r="F394" s="238"/>
      <c r="G394" s="238"/>
      <c r="H394" s="243"/>
      <c r="I394" s="247"/>
      <c r="J394" s="243"/>
      <c r="K394" s="243"/>
      <c r="L394" s="238"/>
      <c r="M394" s="244"/>
      <c r="N394" s="243"/>
      <c r="O394" s="243"/>
      <c r="P394" s="243"/>
      <c r="Q394" s="243"/>
      <c r="R394" s="243"/>
      <c r="S394" s="243"/>
      <c r="T394" s="243"/>
      <c r="U394" s="186" t="s">
        <v>424</v>
      </c>
      <c r="V394" s="191"/>
      <c r="W394" s="191"/>
      <c r="X394" s="164" t="s">
        <v>2</v>
      </c>
      <c r="Y394" s="161">
        <f>Y392-Y393</f>
        <v>3</v>
      </c>
      <c r="Z394" s="183">
        <v>1800000</v>
      </c>
      <c r="AA394" s="214"/>
      <c r="AB394" s="216">
        <v>0</v>
      </c>
      <c r="AC394" s="161">
        <f t="shared" si="63"/>
        <v>0</v>
      </c>
      <c r="AD394" s="243"/>
      <c r="AE394" s="228"/>
      <c r="AF394" s="155"/>
      <c r="AG394" s="153"/>
      <c r="AH394" s="153"/>
      <c r="AI394" s="153"/>
      <c r="AJ394" s="153"/>
    </row>
    <row r="395" spans="1:36" s="3" customFormat="1" ht="35.25" customHeight="1">
      <c r="A395" s="230"/>
      <c r="B395" s="248"/>
      <c r="C395" s="238"/>
      <c r="D395" s="238"/>
      <c r="E395" s="238"/>
      <c r="F395" s="238"/>
      <c r="G395" s="238"/>
      <c r="H395" s="243"/>
      <c r="I395" s="247"/>
      <c r="J395" s="243"/>
      <c r="K395" s="243"/>
      <c r="L395" s="238"/>
      <c r="M395" s="244"/>
      <c r="N395" s="243"/>
      <c r="O395" s="243"/>
      <c r="P395" s="243"/>
      <c r="Q395" s="243"/>
      <c r="R395" s="243"/>
      <c r="S395" s="243"/>
      <c r="T395" s="243"/>
      <c r="U395" s="210" t="s">
        <v>570</v>
      </c>
      <c r="V395" s="191">
        <v>25</v>
      </c>
      <c r="W395" s="191">
        <f>(J388-Y388-Y389-26.1)/V395</f>
        <v>16.076000000000001</v>
      </c>
      <c r="X395" s="164" t="s">
        <v>2</v>
      </c>
      <c r="Y395" s="215">
        <v>4</v>
      </c>
      <c r="Z395" s="183"/>
      <c r="AA395" s="209"/>
      <c r="AB395" s="197"/>
      <c r="AC395" s="161"/>
      <c r="AD395" s="243"/>
      <c r="AE395" s="228"/>
      <c r="AF395" s="155"/>
      <c r="AG395" s="153"/>
      <c r="AH395" s="153"/>
      <c r="AI395" s="153"/>
      <c r="AJ395" s="153"/>
    </row>
    <row r="396" spans="1:36" s="3" customFormat="1" ht="25.5" customHeight="1">
      <c r="A396" s="230"/>
      <c r="B396" s="248"/>
      <c r="C396" s="238"/>
      <c r="D396" s="238"/>
      <c r="E396" s="238"/>
      <c r="F396" s="238"/>
      <c r="G396" s="238"/>
      <c r="H396" s="243"/>
      <c r="I396" s="247"/>
      <c r="J396" s="243"/>
      <c r="K396" s="243"/>
      <c r="L396" s="238"/>
      <c r="M396" s="244"/>
      <c r="N396" s="243"/>
      <c r="O396" s="243"/>
      <c r="P396" s="243"/>
      <c r="Q396" s="243"/>
      <c r="R396" s="243"/>
      <c r="S396" s="243"/>
      <c r="T396" s="243"/>
      <c r="U396" s="186" t="s">
        <v>497</v>
      </c>
      <c r="V396" s="191"/>
      <c r="W396" s="191">
        <f>0.3*W395</f>
        <v>4.8228</v>
      </c>
      <c r="X396" s="164" t="s">
        <v>2</v>
      </c>
      <c r="Y396" s="161">
        <v>4</v>
      </c>
      <c r="Z396" s="183">
        <v>3750000</v>
      </c>
      <c r="AA396" s="214"/>
      <c r="AB396" s="216">
        <v>0.3</v>
      </c>
      <c r="AC396" s="161">
        <f>Y396*Z396*AB396</f>
        <v>4500000</v>
      </c>
      <c r="AD396" s="243"/>
      <c r="AE396" s="228"/>
      <c r="AF396" s="155"/>
      <c r="AG396" s="153"/>
      <c r="AH396" s="153"/>
      <c r="AI396" s="153"/>
      <c r="AJ396" s="153"/>
    </row>
    <row r="397" spans="1:36" s="3" customFormat="1" ht="35.25" customHeight="1">
      <c r="A397" s="230"/>
      <c r="B397" s="248"/>
      <c r="C397" s="238"/>
      <c r="D397" s="238"/>
      <c r="E397" s="238"/>
      <c r="F397" s="238"/>
      <c r="G397" s="238"/>
      <c r="H397" s="243"/>
      <c r="I397" s="247"/>
      <c r="J397" s="243"/>
      <c r="K397" s="243"/>
      <c r="L397" s="238"/>
      <c r="M397" s="244"/>
      <c r="N397" s="243"/>
      <c r="O397" s="243"/>
      <c r="P397" s="243"/>
      <c r="Q397" s="243"/>
      <c r="R397" s="243"/>
      <c r="S397" s="243"/>
      <c r="T397" s="243"/>
      <c r="U397" s="210" t="s">
        <v>571</v>
      </c>
      <c r="V397" s="191"/>
      <c r="W397" s="191"/>
      <c r="X397" s="164" t="s">
        <v>2</v>
      </c>
      <c r="Y397" s="215">
        <v>14</v>
      </c>
      <c r="Z397" s="183"/>
      <c r="AA397" s="209"/>
      <c r="AB397" s="216">
        <v>0</v>
      </c>
      <c r="AC397" s="161">
        <f>Y397*Z397*AB397</f>
        <v>0</v>
      </c>
      <c r="AD397" s="243"/>
      <c r="AE397" s="228"/>
      <c r="AF397" s="155"/>
      <c r="AG397" s="153"/>
      <c r="AH397" s="153"/>
      <c r="AI397" s="153"/>
      <c r="AJ397" s="153"/>
    </row>
    <row r="398" spans="1:36" s="3" customFormat="1" ht="35.25" customHeight="1">
      <c r="A398" s="230"/>
      <c r="B398" s="248"/>
      <c r="C398" s="238"/>
      <c r="D398" s="238"/>
      <c r="E398" s="238"/>
      <c r="F398" s="238"/>
      <c r="G398" s="238"/>
      <c r="H398" s="243"/>
      <c r="I398" s="247"/>
      <c r="J398" s="243"/>
      <c r="K398" s="243"/>
      <c r="L398" s="238"/>
      <c r="M398" s="244"/>
      <c r="N398" s="243"/>
      <c r="O398" s="243"/>
      <c r="P398" s="243"/>
      <c r="Q398" s="243"/>
      <c r="R398" s="243"/>
      <c r="S398" s="243"/>
      <c r="T398" s="243"/>
      <c r="U398" s="210" t="s">
        <v>572</v>
      </c>
      <c r="V398" s="191"/>
      <c r="W398" s="191"/>
      <c r="X398" s="164" t="s">
        <v>2</v>
      </c>
      <c r="Y398" s="215">
        <v>100</v>
      </c>
      <c r="Z398" s="183">
        <v>250000</v>
      </c>
      <c r="AA398" s="209"/>
      <c r="AB398" s="216">
        <v>0</v>
      </c>
      <c r="AC398" s="161">
        <v>0</v>
      </c>
      <c r="AD398" s="243"/>
      <c r="AE398" s="228"/>
      <c r="AF398" s="155"/>
      <c r="AG398" s="153"/>
      <c r="AH398" s="153"/>
      <c r="AI398" s="153"/>
      <c r="AJ398" s="153"/>
    </row>
    <row r="399" spans="1:36" s="3" customFormat="1" ht="25.5" customHeight="1">
      <c r="A399" s="230"/>
      <c r="B399" s="248"/>
      <c r="C399" s="238"/>
      <c r="D399" s="238"/>
      <c r="E399" s="238"/>
      <c r="F399" s="238"/>
      <c r="G399" s="238"/>
      <c r="H399" s="243"/>
      <c r="I399" s="247"/>
      <c r="J399" s="243"/>
      <c r="K399" s="243"/>
      <c r="L399" s="238"/>
      <c r="M399" s="244"/>
      <c r="N399" s="243"/>
      <c r="O399" s="243"/>
      <c r="P399" s="243"/>
      <c r="Q399" s="243"/>
      <c r="R399" s="243"/>
      <c r="S399" s="243"/>
      <c r="T399" s="243"/>
      <c r="U399" s="173" t="s">
        <v>443</v>
      </c>
      <c r="V399" s="191"/>
      <c r="W399" s="191"/>
      <c r="X399" s="164" t="s">
        <v>399</v>
      </c>
      <c r="Y399" s="192">
        <v>3</v>
      </c>
      <c r="Z399" s="183"/>
      <c r="AA399" s="209"/>
      <c r="AB399" s="216">
        <v>0</v>
      </c>
      <c r="AC399" s="161">
        <v>0</v>
      </c>
      <c r="AD399" s="243"/>
      <c r="AE399" s="228"/>
      <c r="AF399" s="155"/>
      <c r="AG399" s="153"/>
      <c r="AH399" s="153"/>
      <c r="AI399" s="153"/>
      <c r="AJ399" s="153"/>
    </row>
    <row r="400" spans="1:36" s="3" customFormat="1" ht="69.75" customHeight="1">
      <c r="A400" s="230"/>
      <c r="B400" s="248"/>
      <c r="C400" s="238"/>
      <c r="D400" s="238"/>
      <c r="E400" s="238"/>
      <c r="F400" s="238"/>
      <c r="G400" s="238"/>
      <c r="H400" s="243"/>
      <c r="I400" s="247"/>
      <c r="J400" s="243"/>
      <c r="K400" s="243"/>
      <c r="L400" s="238"/>
      <c r="M400" s="244"/>
      <c r="N400" s="243"/>
      <c r="O400" s="243"/>
      <c r="P400" s="243"/>
      <c r="Q400" s="243"/>
      <c r="R400" s="243"/>
      <c r="S400" s="243"/>
      <c r="T400" s="243"/>
      <c r="U400" s="173" t="s">
        <v>573</v>
      </c>
      <c r="V400" s="191"/>
      <c r="W400" s="191"/>
      <c r="X400" s="174" t="s">
        <v>0</v>
      </c>
      <c r="Y400" s="192">
        <v>18</v>
      </c>
      <c r="Z400" s="183"/>
      <c r="AA400" s="209"/>
      <c r="AB400" s="216">
        <v>0</v>
      </c>
      <c r="AC400" s="161">
        <v>0</v>
      </c>
      <c r="AD400" s="243"/>
      <c r="AE400" s="228"/>
      <c r="AF400" s="155"/>
      <c r="AG400" s="153"/>
      <c r="AH400" s="153"/>
      <c r="AI400" s="153"/>
      <c r="AJ400" s="153"/>
    </row>
    <row r="401" spans="1:37" s="3" customFormat="1" ht="65.25" customHeight="1">
      <c r="A401" s="230"/>
      <c r="B401" s="248"/>
      <c r="C401" s="238"/>
      <c r="D401" s="238"/>
      <c r="E401" s="238"/>
      <c r="F401" s="238"/>
      <c r="G401" s="238"/>
      <c r="H401" s="243"/>
      <c r="I401" s="247"/>
      <c r="J401" s="243"/>
      <c r="K401" s="243"/>
      <c r="L401" s="238"/>
      <c r="M401" s="244"/>
      <c r="N401" s="243"/>
      <c r="O401" s="243"/>
      <c r="P401" s="243"/>
      <c r="Q401" s="243"/>
      <c r="R401" s="243"/>
      <c r="S401" s="243"/>
      <c r="T401" s="243"/>
      <c r="U401" s="173" t="s">
        <v>574</v>
      </c>
      <c r="V401" s="191"/>
      <c r="W401" s="191"/>
      <c r="X401" s="164" t="s">
        <v>0</v>
      </c>
      <c r="Y401" s="192">
        <v>13.2</v>
      </c>
      <c r="Z401" s="183"/>
      <c r="AA401" s="209"/>
      <c r="AB401" s="216">
        <v>0</v>
      </c>
      <c r="AC401" s="161">
        <v>0</v>
      </c>
      <c r="AD401" s="243"/>
      <c r="AE401" s="228"/>
      <c r="AF401" s="155"/>
      <c r="AG401" s="153"/>
      <c r="AH401" s="153"/>
      <c r="AI401" s="153"/>
      <c r="AJ401" s="153"/>
    </row>
    <row r="402" spans="1:37" s="3" customFormat="1" ht="42" customHeight="1">
      <c r="A402" s="230"/>
      <c r="B402" s="248"/>
      <c r="C402" s="238"/>
      <c r="D402" s="238"/>
      <c r="E402" s="238"/>
      <c r="F402" s="238"/>
      <c r="G402" s="238"/>
      <c r="H402" s="243"/>
      <c r="I402" s="247"/>
      <c r="J402" s="243"/>
      <c r="K402" s="243"/>
      <c r="L402" s="238"/>
      <c r="M402" s="244"/>
      <c r="N402" s="243"/>
      <c r="O402" s="243"/>
      <c r="P402" s="243"/>
      <c r="Q402" s="243"/>
      <c r="R402" s="243"/>
      <c r="S402" s="243"/>
      <c r="T402" s="243"/>
      <c r="U402" s="173" t="s">
        <v>575</v>
      </c>
      <c r="V402" s="191"/>
      <c r="W402" s="191"/>
      <c r="X402" s="164" t="s">
        <v>689</v>
      </c>
      <c r="Y402" s="192">
        <v>12</v>
      </c>
      <c r="Z402" s="183"/>
      <c r="AA402" s="209"/>
      <c r="AB402" s="216">
        <v>0</v>
      </c>
      <c r="AC402" s="161">
        <v>0</v>
      </c>
      <c r="AD402" s="243"/>
      <c r="AE402" s="228"/>
      <c r="AF402" s="155"/>
      <c r="AG402" s="153"/>
      <c r="AH402" s="153"/>
      <c r="AI402" s="153"/>
      <c r="AJ402" s="153"/>
    </row>
    <row r="403" spans="1:37" s="21" customFormat="1" ht="45.6" customHeight="1">
      <c r="A403" s="184">
        <v>52</v>
      </c>
      <c r="B403" s="190" t="s">
        <v>651</v>
      </c>
      <c r="C403" s="164" t="s">
        <v>33</v>
      </c>
      <c r="D403" s="164">
        <v>64</v>
      </c>
      <c r="E403" s="164">
        <v>487</v>
      </c>
      <c r="F403" s="164">
        <v>797.3</v>
      </c>
      <c r="G403" s="164" t="s">
        <v>28</v>
      </c>
      <c r="H403" s="192">
        <v>797.4</v>
      </c>
      <c r="I403" s="192">
        <f>F403-H403</f>
        <v>-0.10000000000002274</v>
      </c>
      <c r="J403" s="192">
        <v>797.4</v>
      </c>
      <c r="K403" s="161">
        <v>1440</v>
      </c>
      <c r="L403" s="164"/>
      <c r="M403" s="212">
        <f>J403/K403*100</f>
        <v>55.375</v>
      </c>
      <c r="N403" s="161">
        <v>6</v>
      </c>
      <c r="O403" s="161">
        <v>5</v>
      </c>
      <c r="P403" s="161">
        <v>80000</v>
      </c>
      <c r="Q403" s="161">
        <f>P403*J403</f>
        <v>63792000</v>
      </c>
      <c r="R403" s="161">
        <f>Q403*3</f>
        <v>191376000</v>
      </c>
      <c r="S403" s="161">
        <f>N403*O403*S6</f>
        <v>15300000</v>
      </c>
      <c r="T403" s="161">
        <f>SUM(Q403:S403)</f>
        <v>270468000</v>
      </c>
      <c r="U403" s="210" t="s">
        <v>556</v>
      </c>
      <c r="V403" s="191"/>
      <c r="W403" s="191"/>
      <c r="X403" s="164" t="s">
        <v>0</v>
      </c>
      <c r="Y403" s="215">
        <v>720</v>
      </c>
      <c r="Z403" s="183">
        <v>200000</v>
      </c>
      <c r="AA403" s="209"/>
      <c r="AB403" s="197">
        <v>1</v>
      </c>
      <c r="AC403" s="161">
        <f>Y403*Z403*AB403</f>
        <v>144000000</v>
      </c>
      <c r="AD403" s="161">
        <f>SUM(AC403:AC403)</f>
        <v>144000000</v>
      </c>
      <c r="AE403" s="158">
        <f>T403+AD403</f>
        <v>414468000</v>
      </c>
      <c r="AF403" s="155"/>
      <c r="AG403" s="153"/>
      <c r="AH403" s="153"/>
      <c r="AI403" s="153"/>
      <c r="AJ403" s="153"/>
      <c r="AK403" s="21" t="s">
        <v>653</v>
      </c>
    </row>
    <row r="404" spans="1:37" s="19" customFormat="1" ht="24" customHeight="1">
      <c r="A404" s="230">
        <v>53</v>
      </c>
      <c r="B404" s="235" t="s">
        <v>615</v>
      </c>
      <c r="C404" s="238" t="s">
        <v>39</v>
      </c>
      <c r="D404" s="238">
        <v>64</v>
      </c>
      <c r="E404" s="238">
        <v>488</v>
      </c>
      <c r="F404" s="238">
        <v>288.10000000000002</v>
      </c>
      <c r="G404" s="238" t="s">
        <v>28</v>
      </c>
      <c r="H404" s="243">
        <v>288</v>
      </c>
      <c r="I404" s="247">
        <f>F404-H404</f>
        <v>0.10000000000002274</v>
      </c>
      <c r="J404" s="241">
        <f>H404+H407</f>
        <v>839.7</v>
      </c>
      <c r="K404" s="243">
        <v>1080</v>
      </c>
      <c r="L404" s="243"/>
      <c r="M404" s="247">
        <f>J404/K404*100</f>
        <v>77.750000000000014</v>
      </c>
      <c r="N404" s="243">
        <v>12</v>
      </c>
      <c r="O404" s="243">
        <v>6</v>
      </c>
      <c r="P404" s="243">
        <v>80000</v>
      </c>
      <c r="Q404" s="243">
        <f>P404*J404</f>
        <v>67176000</v>
      </c>
      <c r="R404" s="243">
        <f>Q404*3</f>
        <v>201528000</v>
      </c>
      <c r="S404" s="243">
        <f>N404*O404*S6</f>
        <v>36720000</v>
      </c>
      <c r="T404" s="243">
        <f>SUM(Q404:S407)</f>
        <v>305424000</v>
      </c>
      <c r="U404" s="210" t="s">
        <v>556</v>
      </c>
      <c r="V404" s="191"/>
      <c r="W404" s="191"/>
      <c r="X404" s="164" t="s">
        <v>0</v>
      </c>
      <c r="Y404" s="215">
        <v>180</v>
      </c>
      <c r="Z404" s="183">
        <v>200000</v>
      </c>
      <c r="AA404" s="209"/>
      <c r="AB404" s="197">
        <v>1</v>
      </c>
      <c r="AC404" s="161">
        <f>Y404*Z404*AB404</f>
        <v>36000000</v>
      </c>
      <c r="AD404" s="243">
        <f>SUM(AC404:AC406)</f>
        <v>37200000</v>
      </c>
      <c r="AE404" s="228">
        <f>T404+AD404+AD407</f>
        <v>429024000</v>
      </c>
      <c r="AF404" s="155"/>
      <c r="AG404" s="153"/>
      <c r="AH404" s="153"/>
      <c r="AI404" s="153"/>
      <c r="AJ404" s="153"/>
    </row>
    <row r="405" spans="1:37" s="19" customFormat="1" ht="37.5" customHeight="1">
      <c r="A405" s="230"/>
      <c r="B405" s="235"/>
      <c r="C405" s="238"/>
      <c r="D405" s="238"/>
      <c r="E405" s="238"/>
      <c r="F405" s="238"/>
      <c r="G405" s="238"/>
      <c r="H405" s="243"/>
      <c r="I405" s="247"/>
      <c r="J405" s="241"/>
      <c r="K405" s="243"/>
      <c r="L405" s="243"/>
      <c r="M405" s="247"/>
      <c r="N405" s="243"/>
      <c r="O405" s="243"/>
      <c r="P405" s="243"/>
      <c r="Q405" s="243"/>
      <c r="R405" s="243"/>
      <c r="S405" s="243"/>
      <c r="T405" s="243"/>
      <c r="U405" s="182" t="s">
        <v>637</v>
      </c>
      <c r="V405" s="191">
        <v>10</v>
      </c>
      <c r="W405" s="191">
        <f>(H404-Y404)/V405</f>
        <v>10.8</v>
      </c>
      <c r="X405" s="164" t="s">
        <v>2</v>
      </c>
      <c r="Y405" s="161">
        <v>5</v>
      </c>
      <c r="Z405" s="183"/>
      <c r="AA405" s="214"/>
      <c r="AB405" s="216"/>
      <c r="AC405" s="161"/>
      <c r="AD405" s="243"/>
      <c r="AE405" s="228"/>
      <c r="AF405" s="155"/>
      <c r="AG405" s="153"/>
      <c r="AH405" s="153"/>
      <c r="AI405" s="153"/>
      <c r="AJ405" s="153"/>
    </row>
    <row r="406" spans="1:37" s="19" customFormat="1" ht="22.5" customHeight="1">
      <c r="A406" s="230"/>
      <c r="B406" s="235"/>
      <c r="C406" s="238"/>
      <c r="D406" s="238"/>
      <c r="E406" s="238"/>
      <c r="F406" s="238"/>
      <c r="G406" s="238"/>
      <c r="H406" s="243"/>
      <c r="I406" s="247"/>
      <c r="J406" s="241"/>
      <c r="K406" s="243"/>
      <c r="L406" s="243"/>
      <c r="M406" s="247"/>
      <c r="N406" s="243"/>
      <c r="O406" s="243"/>
      <c r="P406" s="243"/>
      <c r="Q406" s="243"/>
      <c r="R406" s="243"/>
      <c r="S406" s="243"/>
      <c r="T406" s="243"/>
      <c r="U406" s="186" t="s">
        <v>421</v>
      </c>
      <c r="V406" s="191"/>
      <c r="W406" s="191"/>
      <c r="X406" s="164" t="s">
        <v>2</v>
      </c>
      <c r="Y406" s="161">
        <v>5</v>
      </c>
      <c r="Z406" s="183">
        <v>240000</v>
      </c>
      <c r="AA406" s="214"/>
      <c r="AB406" s="216">
        <v>1</v>
      </c>
      <c r="AC406" s="161">
        <f t="shared" ref="AC406:AC407" si="64">Y406*Z406*AB406</f>
        <v>1200000</v>
      </c>
      <c r="AD406" s="243"/>
      <c r="AE406" s="228"/>
      <c r="AF406" s="155"/>
      <c r="AG406" s="153"/>
      <c r="AH406" s="153"/>
      <c r="AI406" s="153"/>
      <c r="AJ406" s="153"/>
    </row>
    <row r="407" spans="1:37" s="19" customFormat="1" ht="24" customHeight="1">
      <c r="A407" s="230"/>
      <c r="B407" s="235"/>
      <c r="C407" s="184"/>
      <c r="D407" s="184">
        <v>64</v>
      </c>
      <c r="E407" s="184">
        <v>820</v>
      </c>
      <c r="F407" s="184">
        <v>551.20000000000005</v>
      </c>
      <c r="G407" s="184" t="s">
        <v>28</v>
      </c>
      <c r="H407" s="198">
        <v>551.70000000000005</v>
      </c>
      <c r="I407" s="201">
        <f>F407-H407</f>
        <v>-0.5</v>
      </c>
      <c r="J407" s="241"/>
      <c r="K407" s="243"/>
      <c r="L407" s="243"/>
      <c r="M407" s="247"/>
      <c r="N407" s="243"/>
      <c r="O407" s="243"/>
      <c r="P407" s="243"/>
      <c r="Q407" s="243"/>
      <c r="R407" s="243"/>
      <c r="S407" s="243"/>
      <c r="T407" s="243"/>
      <c r="U407" s="210" t="s">
        <v>556</v>
      </c>
      <c r="V407" s="191"/>
      <c r="W407" s="191"/>
      <c r="X407" s="164" t="s">
        <v>0</v>
      </c>
      <c r="Y407" s="215">
        <v>432</v>
      </c>
      <c r="Z407" s="183">
        <v>200000</v>
      </c>
      <c r="AA407" s="209"/>
      <c r="AB407" s="197">
        <v>1</v>
      </c>
      <c r="AC407" s="161">
        <f t="shared" si="64"/>
        <v>86400000</v>
      </c>
      <c r="AD407" s="161">
        <f>SUM(AC407:AC407)</f>
        <v>86400000</v>
      </c>
      <c r="AE407" s="228"/>
      <c r="AF407" s="155"/>
      <c r="AG407" s="153"/>
      <c r="AH407" s="153"/>
      <c r="AI407" s="153"/>
      <c r="AJ407" s="153"/>
    </row>
    <row r="408" spans="1:37" ht="27" customHeight="1">
      <c r="A408" s="157"/>
      <c r="B408" s="157" t="s">
        <v>617</v>
      </c>
      <c r="C408" s="160"/>
      <c r="D408" s="160"/>
      <c r="E408" s="160"/>
      <c r="F408" s="218">
        <f>SUM(F9:F407)</f>
        <v>34775.5</v>
      </c>
      <c r="G408" s="218"/>
      <c r="H408" s="218">
        <f>SUM(H9:H407)</f>
        <v>34759.299999999996</v>
      </c>
      <c r="I408" s="218">
        <f>SUM(I9:I407)</f>
        <v>16.199999999999818</v>
      </c>
      <c r="J408" s="218">
        <f>SUM(J9:J407)</f>
        <v>34759.299999999996</v>
      </c>
      <c r="K408" s="218">
        <f>SUM(K9:K407)</f>
        <v>61641.5</v>
      </c>
      <c r="L408" s="218">
        <f t="shared" ref="L408" si="65">SUM(L9:L407)</f>
        <v>3150</v>
      </c>
      <c r="M408" s="218"/>
      <c r="N408" s="218"/>
      <c r="O408" s="218">
        <f>SUM(O9:O407)</f>
        <v>224</v>
      </c>
      <c r="P408" s="218"/>
      <c r="Q408" s="158">
        <f>SUM(Q9:Q407)</f>
        <v>2780744000</v>
      </c>
      <c r="R408" s="158">
        <f>SUM(R9:R407)</f>
        <v>8342232000</v>
      </c>
      <c r="S408" s="158">
        <f>SUM(S9:S407)</f>
        <v>998580000</v>
      </c>
      <c r="T408" s="158">
        <f>SUM(T9:T407)</f>
        <v>12121556000</v>
      </c>
      <c r="U408" s="218"/>
      <c r="V408" s="218"/>
      <c r="W408" s="218"/>
      <c r="X408" s="218"/>
      <c r="Y408" s="218"/>
      <c r="Z408" s="218"/>
      <c r="AA408" s="218"/>
      <c r="AB408" s="218"/>
      <c r="AC408" s="158"/>
      <c r="AD408" s="158">
        <f>SUM(AD9:AD407)</f>
        <v>5122181000</v>
      </c>
      <c r="AE408" s="158">
        <f>SUM(AE9:AE407)</f>
        <v>17243737000</v>
      </c>
    </row>
    <row r="411" spans="1:37" hidden="1">
      <c r="Q411" s="222">
        <f>J408*P6</f>
        <v>2780743999.9999995</v>
      </c>
      <c r="R411" s="222">
        <f>Q411*3</f>
        <v>8342231999.9999981</v>
      </c>
    </row>
    <row r="412" spans="1:37" hidden="1"/>
    <row r="413" spans="1:37" hidden="1">
      <c r="Q413" s="222">
        <f>Q408-Q411</f>
        <v>0</v>
      </c>
    </row>
    <row r="414" spans="1:37" hidden="1"/>
    <row r="417" spans="17:18">
      <c r="Q417" s="163">
        <f>J408*80000</f>
        <v>2780743999.9999995</v>
      </c>
      <c r="R417" s="163">
        <f>Q417*3</f>
        <v>8342231999.9999981</v>
      </c>
    </row>
    <row r="418" spans="17:18">
      <c r="Q418" s="222">
        <f>Q408-Q417</f>
        <v>0</v>
      </c>
      <c r="R418" s="222">
        <f>R408-R417</f>
        <v>0</v>
      </c>
    </row>
  </sheetData>
  <autoFilter ref="A7:AE408"/>
  <mergeCells count="1018">
    <mergeCell ref="S404:S407"/>
    <mergeCell ref="T404:T407"/>
    <mergeCell ref="AD404:AD406"/>
    <mergeCell ref="AE404:AE407"/>
    <mergeCell ref="M404:M407"/>
    <mergeCell ref="N404:N407"/>
    <mergeCell ref="O404:O407"/>
    <mergeCell ref="P404:P407"/>
    <mergeCell ref="Q404:Q407"/>
    <mergeCell ref="R404:R407"/>
    <mergeCell ref="G404:G406"/>
    <mergeCell ref="H404:H406"/>
    <mergeCell ref="I404:I406"/>
    <mergeCell ref="J404:J407"/>
    <mergeCell ref="K404:K407"/>
    <mergeCell ref="L404:L407"/>
    <mergeCell ref="S388:S402"/>
    <mergeCell ref="T388:T402"/>
    <mergeCell ref="AD388:AD402"/>
    <mergeCell ref="AE388:AE402"/>
    <mergeCell ref="A404:A407"/>
    <mergeCell ref="B404:B407"/>
    <mergeCell ref="C404:C406"/>
    <mergeCell ref="D404:D406"/>
    <mergeCell ref="E404:E406"/>
    <mergeCell ref="F404:F406"/>
    <mergeCell ref="M388:M402"/>
    <mergeCell ref="N388:N402"/>
    <mergeCell ref="O388:O402"/>
    <mergeCell ref="P388:P402"/>
    <mergeCell ref="Q388:Q402"/>
    <mergeCell ref="R388:R402"/>
    <mergeCell ref="G388:G402"/>
    <mergeCell ref="H388:H402"/>
    <mergeCell ref="I388:I402"/>
    <mergeCell ref="J388:J402"/>
    <mergeCell ref="K388:K402"/>
    <mergeCell ref="L388:L402"/>
    <mergeCell ref="A388:A402"/>
    <mergeCell ref="B388:B402"/>
    <mergeCell ref="C388:C402"/>
    <mergeCell ref="D388:D402"/>
    <mergeCell ref="E388:E402"/>
    <mergeCell ref="F388:F402"/>
    <mergeCell ref="S379:S385"/>
    <mergeCell ref="T379:T385"/>
    <mergeCell ref="AD379:AD385"/>
    <mergeCell ref="AE379:AE385"/>
    <mergeCell ref="A386:A387"/>
    <mergeCell ref="B386:B387"/>
    <mergeCell ref="C386:C387"/>
    <mergeCell ref="D386:D387"/>
    <mergeCell ref="E386:E387"/>
    <mergeCell ref="F386:F387"/>
    <mergeCell ref="M379:M385"/>
    <mergeCell ref="N379:N385"/>
    <mergeCell ref="O379:O385"/>
    <mergeCell ref="P379:P385"/>
    <mergeCell ref="Q379:Q385"/>
    <mergeCell ref="R379:R385"/>
    <mergeCell ref="G379:G385"/>
    <mergeCell ref="H379:H385"/>
    <mergeCell ref="I379:I385"/>
    <mergeCell ref="J379:J385"/>
    <mergeCell ref="K379:K385"/>
    <mergeCell ref="L379:L385"/>
    <mergeCell ref="S386:S387"/>
    <mergeCell ref="T386:T387"/>
    <mergeCell ref="AD386:AD387"/>
    <mergeCell ref="AE386:AE387"/>
    <mergeCell ref="A379:A385"/>
    <mergeCell ref="B379:B385"/>
    <mergeCell ref="C379:C385"/>
    <mergeCell ref="D379:D385"/>
    <mergeCell ref="E379:E385"/>
    <mergeCell ref="F379:F385"/>
    <mergeCell ref="M372:M378"/>
    <mergeCell ref="N372:N378"/>
    <mergeCell ref="O372:O378"/>
    <mergeCell ref="P372:P378"/>
    <mergeCell ref="Q372:Q378"/>
    <mergeCell ref="R372:R378"/>
    <mergeCell ref="G372:G378"/>
    <mergeCell ref="H372:H378"/>
    <mergeCell ref="I372:I378"/>
    <mergeCell ref="J372:J378"/>
    <mergeCell ref="K372:K378"/>
    <mergeCell ref="L372:L378"/>
    <mergeCell ref="M386:M387"/>
    <mergeCell ref="N386:N387"/>
    <mergeCell ref="O386:O387"/>
    <mergeCell ref="P386:P387"/>
    <mergeCell ref="Q386:Q387"/>
    <mergeCell ref="R386:R387"/>
    <mergeCell ref="G386:G387"/>
    <mergeCell ref="H386:H387"/>
    <mergeCell ref="I386:I387"/>
    <mergeCell ref="J386:J387"/>
    <mergeCell ref="K386:K387"/>
    <mergeCell ref="L386:L387"/>
    <mergeCell ref="S365:S371"/>
    <mergeCell ref="T365:T371"/>
    <mergeCell ref="AD365:AD371"/>
    <mergeCell ref="AE365:AE371"/>
    <mergeCell ref="A372:A378"/>
    <mergeCell ref="B372:B378"/>
    <mergeCell ref="C372:C378"/>
    <mergeCell ref="D372:D378"/>
    <mergeCell ref="E372:E378"/>
    <mergeCell ref="F372:F378"/>
    <mergeCell ref="M365:M371"/>
    <mergeCell ref="N365:N371"/>
    <mergeCell ref="O365:O371"/>
    <mergeCell ref="P365:P371"/>
    <mergeCell ref="Q365:Q371"/>
    <mergeCell ref="R365:R371"/>
    <mergeCell ref="G365:G371"/>
    <mergeCell ref="H365:H371"/>
    <mergeCell ref="I365:I371"/>
    <mergeCell ref="J365:J371"/>
    <mergeCell ref="K365:K371"/>
    <mergeCell ref="L365:L371"/>
    <mergeCell ref="S372:S378"/>
    <mergeCell ref="T372:T378"/>
    <mergeCell ref="AD372:AD378"/>
    <mergeCell ref="AE372:AE378"/>
    <mergeCell ref="A365:A371"/>
    <mergeCell ref="B365:B371"/>
    <mergeCell ref="C365:C371"/>
    <mergeCell ref="D365:D371"/>
    <mergeCell ref="E365:E371"/>
    <mergeCell ref="F365:F371"/>
    <mergeCell ref="S344:S347"/>
    <mergeCell ref="T344:T347"/>
    <mergeCell ref="AD344:AD347"/>
    <mergeCell ref="AE344:AE347"/>
    <mergeCell ref="A348:A364"/>
    <mergeCell ref="B348:B364"/>
    <mergeCell ref="C348:C364"/>
    <mergeCell ref="D348:D364"/>
    <mergeCell ref="E348:E364"/>
    <mergeCell ref="F348:F364"/>
    <mergeCell ref="M344:M347"/>
    <mergeCell ref="N344:N347"/>
    <mergeCell ref="O344:O347"/>
    <mergeCell ref="P344:P347"/>
    <mergeCell ref="Q344:Q347"/>
    <mergeCell ref="R344:R347"/>
    <mergeCell ref="G344:G347"/>
    <mergeCell ref="H344:H347"/>
    <mergeCell ref="I344:I347"/>
    <mergeCell ref="J344:J347"/>
    <mergeCell ref="K344:K347"/>
    <mergeCell ref="L344:L347"/>
    <mergeCell ref="S348:S364"/>
    <mergeCell ref="T348:T364"/>
    <mergeCell ref="AD348:AD364"/>
    <mergeCell ref="AE348:AE364"/>
    <mergeCell ref="A344:A347"/>
    <mergeCell ref="B344:B347"/>
    <mergeCell ref="C344:C347"/>
    <mergeCell ref="D344:D347"/>
    <mergeCell ref="E344:E347"/>
    <mergeCell ref="F344:F347"/>
    <mergeCell ref="M336:M343"/>
    <mergeCell ref="N336:N343"/>
    <mergeCell ref="O336:O343"/>
    <mergeCell ref="P336:P343"/>
    <mergeCell ref="Q336:Q343"/>
    <mergeCell ref="R336:R343"/>
    <mergeCell ref="G336:G343"/>
    <mergeCell ref="H336:H343"/>
    <mergeCell ref="I336:I343"/>
    <mergeCell ref="J336:J343"/>
    <mergeCell ref="K336:K343"/>
    <mergeCell ref="L336:L343"/>
    <mergeCell ref="M348:M364"/>
    <mergeCell ref="N348:N364"/>
    <mergeCell ref="O348:O364"/>
    <mergeCell ref="P348:P364"/>
    <mergeCell ref="Q348:Q364"/>
    <mergeCell ref="R348:R364"/>
    <mergeCell ref="G348:G364"/>
    <mergeCell ref="H348:H364"/>
    <mergeCell ref="I348:I364"/>
    <mergeCell ref="J348:J364"/>
    <mergeCell ref="K348:K364"/>
    <mergeCell ref="L348:L364"/>
    <mergeCell ref="S328:S335"/>
    <mergeCell ref="T328:T335"/>
    <mergeCell ref="AD328:AD335"/>
    <mergeCell ref="AE328:AE335"/>
    <mergeCell ref="A336:A343"/>
    <mergeCell ref="B336:B343"/>
    <mergeCell ref="C336:C343"/>
    <mergeCell ref="D336:D343"/>
    <mergeCell ref="E336:E343"/>
    <mergeCell ref="F336:F343"/>
    <mergeCell ref="M328:M335"/>
    <mergeCell ref="N328:N335"/>
    <mergeCell ref="O328:O335"/>
    <mergeCell ref="P328:P335"/>
    <mergeCell ref="Q328:Q335"/>
    <mergeCell ref="R328:R335"/>
    <mergeCell ref="G328:G335"/>
    <mergeCell ref="H328:H335"/>
    <mergeCell ref="I328:I335"/>
    <mergeCell ref="J328:J335"/>
    <mergeCell ref="K328:K335"/>
    <mergeCell ref="L328:L335"/>
    <mergeCell ref="S336:S343"/>
    <mergeCell ref="T336:T343"/>
    <mergeCell ref="AD336:AD343"/>
    <mergeCell ref="AE336:AE343"/>
    <mergeCell ref="A328:A335"/>
    <mergeCell ref="B328:B335"/>
    <mergeCell ref="C328:C335"/>
    <mergeCell ref="D328:D335"/>
    <mergeCell ref="E328:E335"/>
    <mergeCell ref="F328:F335"/>
    <mergeCell ref="M317:M327"/>
    <mergeCell ref="N317:N327"/>
    <mergeCell ref="O317:O327"/>
    <mergeCell ref="P317:P327"/>
    <mergeCell ref="Q317:Q327"/>
    <mergeCell ref="R317:R327"/>
    <mergeCell ref="G317:G327"/>
    <mergeCell ref="H317:H327"/>
    <mergeCell ref="I317:I327"/>
    <mergeCell ref="J317:J327"/>
    <mergeCell ref="K317:K327"/>
    <mergeCell ref="L317:L327"/>
    <mergeCell ref="S311:S316"/>
    <mergeCell ref="T311:T316"/>
    <mergeCell ref="AD311:AD316"/>
    <mergeCell ref="AE311:AE316"/>
    <mergeCell ref="A317:A327"/>
    <mergeCell ref="B317:B327"/>
    <mergeCell ref="C317:C327"/>
    <mergeCell ref="D317:D327"/>
    <mergeCell ref="E317:E327"/>
    <mergeCell ref="F317:F327"/>
    <mergeCell ref="M311:M316"/>
    <mergeCell ref="N311:N316"/>
    <mergeCell ref="O311:O316"/>
    <mergeCell ref="P311:P316"/>
    <mergeCell ref="Q311:Q316"/>
    <mergeCell ref="R311:R316"/>
    <mergeCell ref="G311:G316"/>
    <mergeCell ref="H311:H316"/>
    <mergeCell ref="I311:I316"/>
    <mergeCell ref="J311:J316"/>
    <mergeCell ref="K311:K316"/>
    <mergeCell ref="L311:L316"/>
    <mergeCell ref="A311:A316"/>
    <mergeCell ref="B311:B316"/>
    <mergeCell ref="C311:C316"/>
    <mergeCell ref="D311:D316"/>
    <mergeCell ref="E311:E316"/>
    <mergeCell ref="F311:F316"/>
    <mergeCell ref="S317:S327"/>
    <mergeCell ref="T317:T327"/>
    <mergeCell ref="AD317:AD327"/>
    <mergeCell ref="AE317:AE327"/>
    <mergeCell ref="AE289:AE310"/>
    <mergeCell ref="C300:C310"/>
    <mergeCell ref="D300:D310"/>
    <mergeCell ref="E300:E310"/>
    <mergeCell ref="F300:F310"/>
    <mergeCell ref="G300:G310"/>
    <mergeCell ref="H300:H310"/>
    <mergeCell ref="I300:I310"/>
    <mergeCell ref="AD300:AD310"/>
    <mergeCell ref="P289:P310"/>
    <mergeCell ref="Q289:Q310"/>
    <mergeCell ref="R289:R310"/>
    <mergeCell ref="S289:S310"/>
    <mergeCell ref="T289:T310"/>
    <mergeCell ref="AD289:AD299"/>
    <mergeCell ref="J289:J310"/>
    <mergeCell ref="K289:K310"/>
    <mergeCell ref="L289:L310"/>
    <mergeCell ref="M289:M310"/>
    <mergeCell ref="N289:N310"/>
    <mergeCell ref="O289:O310"/>
    <mergeCell ref="A289:A310"/>
    <mergeCell ref="B289:B310"/>
    <mergeCell ref="C289:C299"/>
    <mergeCell ref="D289:D299"/>
    <mergeCell ref="E289:E299"/>
    <mergeCell ref="F289:F299"/>
    <mergeCell ref="G289:G299"/>
    <mergeCell ref="H289:H299"/>
    <mergeCell ref="I289:I299"/>
    <mergeCell ref="P283:P288"/>
    <mergeCell ref="Q283:Q288"/>
    <mergeCell ref="R283:R288"/>
    <mergeCell ref="S283:S288"/>
    <mergeCell ref="T283:T288"/>
    <mergeCell ref="AD283:AD288"/>
    <mergeCell ref="J283:J288"/>
    <mergeCell ref="K283:K288"/>
    <mergeCell ref="L283:L288"/>
    <mergeCell ref="M283:M288"/>
    <mergeCell ref="N283:N288"/>
    <mergeCell ref="O283:O288"/>
    <mergeCell ref="AE270:AE282"/>
    <mergeCell ref="A283:A288"/>
    <mergeCell ref="B283:B288"/>
    <mergeCell ref="C283:C288"/>
    <mergeCell ref="D283:D288"/>
    <mergeCell ref="E283:E288"/>
    <mergeCell ref="F283:F288"/>
    <mergeCell ref="G283:G288"/>
    <mergeCell ref="H283:H288"/>
    <mergeCell ref="I283:I288"/>
    <mergeCell ref="P270:P282"/>
    <mergeCell ref="Q270:Q282"/>
    <mergeCell ref="R270:R282"/>
    <mergeCell ref="S270:S282"/>
    <mergeCell ref="T270:T282"/>
    <mergeCell ref="AD270:AD282"/>
    <mergeCell ref="J270:J282"/>
    <mergeCell ref="K270:K282"/>
    <mergeCell ref="L270:L282"/>
    <mergeCell ref="M270:M282"/>
    <mergeCell ref="N270:N282"/>
    <mergeCell ref="O270:O282"/>
    <mergeCell ref="AE283:AE288"/>
    <mergeCell ref="A270:A282"/>
    <mergeCell ref="B270:B282"/>
    <mergeCell ref="C270:C282"/>
    <mergeCell ref="D270:D282"/>
    <mergeCell ref="E270:E282"/>
    <mergeCell ref="F270:F282"/>
    <mergeCell ref="G270:G282"/>
    <mergeCell ref="H270:H282"/>
    <mergeCell ref="I270:I282"/>
    <mergeCell ref="AE253:AE261"/>
    <mergeCell ref="A262:A269"/>
    <mergeCell ref="B262:B269"/>
    <mergeCell ref="C262:C269"/>
    <mergeCell ref="D262:D269"/>
    <mergeCell ref="E262:E269"/>
    <mergeCell ref="F262:F269"/>
    <mergeCell ref="G262:G269"/>
    <mergeCell ref="H262:H269"/>
    <mergeCell ref="I262:I269"/>
    <mergeCell ref="P253:P261"/>
    <mergeCell ref="Q253:Q261"/>
    <mergeCell ref="R253:R261"/>
    <mergeCell ref="S253:S261"/>
    <mergeCell ref="T253:T261"/>
    <mergeCell ref="AD253:AD261"/>
    <mergeCell ref="J253:J261"/>
    <mergeCell ref="K253:K261"/>
    <mergeCell ref="L253:L261"/>
    <mergeCell ref="M253:M261"/>
    <mergeCell ref="O244:O252"/>
    <mergeCell ref="A244:A252"/>
    <mergeCell ref="B244:B252"/>
    <mergeCell ref="C244:C252"/>
    <mergeCell ref="D244:D252"/>
    <mergeCell ref="E244:E252"/>
    <mergeCell ref="F244:F252"/>
    <mergeCell ref="G244:G252"/>
    <mergeCell ref="H244:H252"/>
    <mergeCell ref="P262:P269"/>
    <mergeCell ref="Q262:Q269"/>
    <mergeCell ref="R262:R269"/>
    <mergeCell ref="S262:S269"/>
    <mergeCell ref="T262:T269"/>
    <mergeCell ref="AD262:AD269"/>
    <mergeCell ref="J262:J269"/>
    <mergeCell ref="K262:K269"/>
    <mergeCell ref="L262:L269"/>
    <mergeCell ref="M262:M269"/>
    <mergeCell ref="N262:N269"/>
    <mergeCell ref="O262:O269"/>
    <mergeCell ref="F233:F234"/>
    <mergeCell ref="G233:G234"/>
    <mergeCell ref="H233:H234"/>
    <mergeCell ref="I233:I234"/>
    <mergeCell ref="J233:J242"/>
    <mergeCell ref="K233:K242"/>
    <mergeCell ref="AE244:AE252"/>
    <mergeCell ref="H235:H242"/>
    <mergeCell ref="I235:I242"/>
    <mergeCell ref="N253:N261"/>
    <mergeCell ref="O253:O261"/>
    <mergeCell ref="AE262:AE269"/>
    <mergeCell ref="A253:A261"/>
    <mergeCell ref="B253:B261"/>
    <mergeCell ref="C253:C261"/>
    <mergeCell ref="D253:D261"/>
    <mergeCell ref="E253:E261"/>
    <mergeCell ref="F253:F261"/>
    <mergeCell ref="G253:G261"/>
    <mergeCell ref="H253:H261"/>
    <mergeCell ref="I253:I261"/>
    <mergeCell ref="P244:P252"/>
    <mergeCell ref="Q244:Q252"/>
    <mergeCell ref="R244:R252"/>
    <mergeCell ref="S244:S252"/>
    <mergeCell ref="T244:T252"/>
    <mergeCell ref="AD244:AD252"/>
    <mergeCell ref="J244:J252"/>
    <mergeCell ref="K244:K252"/>
    <mergeCell ref="L244:L252"/>
    <mergeCell ref="M244:M252"/>
    <mergeCell ref="N244:N252"/>
    <mergeCell ref="T228:T232"/>
    <mergeCell ref="AD228:AD232"/>
    <mergeCell ref="AE228:AE232"/>
    <mergeCell ref="A233:A242"/>
    <mergeCell ref="B233:B242"/>
    <mergeCell ref="C233:C234"/>
    <mergeCell ref="D233:D234"/>
    <mergeCell ref="E233:E234"/>
    <mergeCell ref="K228:K232"/>
    <mergeCell ref="M228:M232"/>
    <mergeCell ref="N228:N232"/>
    <mergeCell ref="O228:O232"/>
    <mergeCell ref="P228:P232"/>
    <mergeCell ref="Q228:Q232"/>
    <mergeCell ref="AD235:AD242"/>
    <mergeCell ref="I244:I252"/>
    <mergeCell ref="R233:R242"/>
    <mergeCell ref="S233:S242"/>
    <mergeCell ref="T233:T242"/>
    <mergeCell ref="AD233:AD234"/>
    <mergeCell ref="AE233:AE242"/>
    <mergeCell ref="C235:C242"/>
    <mergeCell ref="D235:D242"/>
    <mergeCell ref="E235:E242"/>
    <mergeCell ref="F235:F242"/>
    <mergeCell ref="G235:G242"/>
    <mergeCell ref="L233:L242"/>
    <mergeCell ref="M233:M242"/>
    <mergeCell ref="N233:N242"/>
    <mergeCell ref="O233:O242"/>
    <mergeCell ref="P233:P242"/>
    <mergeCell ref="Q233:Q242"/>
    <mergeCell ref="P220:P227"/>
    <mergeCell ref="Q220:Q227"/>
    <mergeCell ref="R220:R227"/>
    <mergeCell ref="G220:G223"/>
    <mergeCell ref="H220:H225"/>
    <mergeCell ref="I220:I225"/>
    <mergeCell ref="J220:J227"/>
    <mergeCell ref="K220:K227"/>
    <mergeCell ref="L220:L221"/>
    <mergeCell ref="I226:I227"/>
    <mergeCell ref="L226:L227"/>
    <mergeCell ref="AD226:AD227"/>
    <mergeCell ref="A228:A232"/>
    <mergeCell ref="B228:B232"/>
    <mergeCell ref="D228:D232"/>
    <mergeCell ref="E228:E232"/>
    <mergeCell ref="F228:F232"/>
    <mergeCell ref="G228:G232"/>
    <mergeCell ref="H228:H232"/>
    <mergeCell ref="I228:I232"/>
    <mergeCell ref="J228:J232"/>
    <mergeCell ref="B226:B227"/>
    <mergeCell ref="C226:C227"/>
    <mergeCell ref="D226:D227"/>
    <mergeCell ref="E226:E227"/>
    <mergeCell ref="F226:F227"/>
    <mergeCell ref="G226:G227"/>
    <mergeCell ref="S220:S227"/>
    <mergeCell ref="T220:T227"/>
    <mergeCell ref="AD220:AD223"/>
    <mergeCell ref="R228:R232"/>
    <mergeCell ref="S228:S232"/>
    <mergeCell ref="S202:S219"/>
    <mergeCell ref="T202:T219"/>
    <mergeCell ref="AD202:AD218"/>
    <mergeCell ref="AE202:AE219"/>
    <mergeCell ref="A220:A227"/>
    <mergeCell ref="B220:B225"/>
    <mergeCell ref="C220:C221"/>
    <mergeCell ref="D220:D223"/>
    <mergeCell ref="E220:E223"/>
    <mergeCell ref="F220:F223"/>
    <mergeCell ref="M202:M219"/>
    <mergeCell ref="N202:N219"/>
    <mergeCell ref="O202:O219"/>
    <mergeCell ref="P202:P219"/>
    <mergeCell ref="Q202:Q219"/>
    <mergeCell ref="R202:R219"/>
    <mergeCell ref="G202:G218"/>
    <mergeCell ref="H202:H218"/>
    <mergeCell ref="I202:I218"/>
    <mergeCell ref="J202:J219"/>
    <mergeCell ref="K202:K219"/>
    <mergeCell ref="L202:L219"/>
    <mergeCell ref="AE220:AE227"/>
    <mergeCell ref="D224:D225"/>
    <mergeCell ref="E224:E225"/>
    <mergeCell ref="F224:F225"/>
    <mergeCell ref="G224:G225"/>
    <mergeCell ref="AD224:AD225"/>
    <mergeCell ref="H226:H227"/>
    <mergeCell ref="M220:M227"/>
    <mergeCell ref="N220:N227"/>
    <mergeCell ref="O220:O227"/>
    <mergeCell ref="A202:A219"/>
    <mergeCell ref="B202:B219"/>
    <mergeCell ref="C202:C218"/>
    <mergeCell ref="D202:D218"/>
    <mergeCell ref="E202:E218"/>
    <mergeCell ref="F202:F218"/>
    <mergeCell ref="M197:M201"/>
    <mergeCell ref="N197:N201"/>
    <mergeCell ref="O197:O201"/>
    <mergeCell ref="P197:P201"/>
    <mergeCell ref="Q197:Q201"/>
    <mergeCell ref="R197:R201"/>
    <mergeCell ref="G197:G201"/>
    <mergeCell ref="H197:H201"/>
    <mergeCell ref="I197:I201"/>
    <mergeCell ref="J197:J201"/>
    <mergeCell ref="K197:K201"/>
    <mergeCell ref="L197:L201"/>
    <mergeCell ref="A197:A201"/>
    <mergeCell ref="B197:B201"/>
    <mergeCell ref="C197:C201"/>
    <mergeCell ref="D197:D201"/>
    <mergeCell ref="E197:E201"/>
    <mergeCell ref="F197:F201"/>
    <mergeCell ref="Q194:Q196"/>
    <mergeCell ref="R194:R196"/>
    <mergeCell ref="S194:S196"/>
    <mergeCell ref="T194:T196"/>
    <mergeCell ref="AE194:AE196"/>
    <mergeCell ref="B195:B196"/>
    <mergeCell ref="C195:C196"/>
    <mergeCell ref="D195:D196"/>
    <mergeCell ref="E195:E196"/>
    <mergeCell ref="F195:F196"/>
    <mergeCell ref="S197:S201"/>
    <mergeCell ref="T197:T201"/>
    <mergeCell ref="AD197:AD201"/>
    <mergeCell ref="AE197:AE201"/>
    <mergeCell ref="AD185:AD191"/>
    <mergeCell ref="AE185:AE191"/>
    <mergeCell ref="A194:A196"/>
    <mergeCell ref="J194:J196"/>
    <mergeCell ref="K194:K196"/>
    <mergeCell ref="L194:L196"/>
    <mergeCell ref="M194:M196"/>
    <mergeCell ref="N194:N196"/>
    <mergeCell ref="O194:O196"/>
    <mergeCell ref="P194:P196"/>
    <mergeCell ref="O185:O191"/>
    <mergeCell ref="P185:P191"/>
    <mergeCell ref="Q185:Q191"/>
    <mergeCell ref="R185:R191"/>
    <mergeCell ref="S185:S191"/>
    <mergeCell ref="T185:T191"/>
    <mergeCell ref="H185:H191"/>
    <mergeCell ref="I185:I191"/>
    <mergeCell ref="J185:J191"/>
    <mergeCell ref="K185:K191"/>
    <mergeCell ref="M185:M191"/>
    <mergeCell ref="N185:N191"/>
    <mergeCell ref="A185:A191"/>
    <mergeCell ref="B185:B191"/>
    <mergeCell ref="D185:D191"/>
    <mergeCell ref="E185:E191"/>
    <mergeCell ref="F185:F191"/>
    <mergeCell ref="G185:G191"/>
    <mergeCell ref="G195:G196"/>
    <mergeCell ref="H195:H196"/>
    <mergeCell ref="I195:I196"/>
    <mergeCell ref="AD195:AD196"/>
    <mergeCell ref="E176:E184"/>
    <mergeCell ref="F176:F184"/>
    <mergeCell ref="G176:G184"/>
    <mergeCell ref="H176:H184"/>
    <mergeCell ref="I176:I184"/>
    <mergeCell ref="AD176:AD184"/>
    <mergeCell ref="O165:O184"/>
    <mergeCell ref="P165:P184"/>
    <mergeCell ref="Q165:Q184"/>
    <mergeCell ref="R165:R184"/>
    <mergeCell ref="S165:S184"/>
    <mergeCell ref="T165:T184"/>
    <mergeCell ref="I165:I175"/>
    <mergeCell ref="J165:J184"/>
    <mergeCell ref="K165:K184"/>
    <mergeCell ref="L165:L184"/>
    <mergeCell ref="M165:M184"/>
    <mergeCell ref="N165:N184"/>
    <mergeCell ref="AD151:AD164"/>
    <mergeCell ref="AE151:AE164"/>
    <mergeCell ref="A165:A184"/>
    <mergeCell ref="B165:B184"/>
    <mergeCell ref="C165:C175"/>
    <mergeCell ref="D165:D175"/>
    <mergeCell ref="E165:E175"/>
    <mergeCell ref="F165:F175"/>
    <mergeCell ref="G165:G175"/>
    <mergeCell ref="H165:H175"/>
    <mergeCell ref="O151:O164"/>
    <mergeCell ref="P151:P164"/>
    <mergeCell ref="Q151:Q164"/>
    <mergeCell ref="R151:R164"/>
    <mergeCell ref="S151:S164"/>
    <mergeCell ref="T151:T164"/>
    <mergeCell ref="H151:H164"/>
    <mergeCell ref="I151:I164"/>
    <mergeCell ref="J151:J164"/>
    <mergeCell ref="K151:K164"/>
    <mergeCell ref="M151:M164"/>
    <mergeCell ref="N151:N164"/>
    <mergeCell ref="A151:A164"/>
    <mergeCell ref="B151:B164"/>
    <mergeCell ref="D151:D164"/>
    <mergeCell ref="E151:E164"/>
    <mergeCell ref="F151:F164"/>
    <mergeCell ref="G151:G164"/>
    <mergeCell ref="AD165:AD175"/>
    <mergeCell ref="AE165:AE184"/>
    <mergeCell ref="C176:C184"/>
    <mergeCell ref="D176:D184"/>
    <mergeCell ref="AE139:AE150"/>
    <mergeCell ref="D143:D144"/>
    <mergeCell ref="E143:E144"/>
    <mergeCell ref="F143:F144"/>
    <mergeCell ref="G143:G144"/>
    <mergeCell ref="H143:H144"/>
    <mergeCell ref="I143:I144"/>
    <mergeCell ref="AD143:AD144"/>
    <mergeCell ref="I145:I150"/>
    <mergeCell ref="L145:L150"/>
    <mergeCell ref="P139:P150"/>
    <mergeCell ref="Q139:Q150"/>
    <mergeCell ref="R139:R150"/>
    <mergeCell ref="S139:S150"/>
    <mergeCell ref="T139:T150"/>
    <mergeCell ref="AD139:AD142"/>
    <mergeCell ref="AD145:AD150"/>
    <mergeCell ref="J139:J150"/>
    <mergeCell ref="K139:K150"/>
    <mergeCell ref="L139:L140"/>
    <mergeCell ref="M139:M150"/>
    <mergeCell ref="N139:N150"/>
    <mergeCell ref="O139:O150"/>
    <mergeCell ref="A139:A150"/>
    <mergeCell ref="B139:B150"/>
    <mergeCell ref="C139:C140"/>
    <mergeCell ref="D139:D142"/>
    <mergeCell ref="E139:E142"/>
    <mergeCell ref="F139:F142"/>
    <mergeCell ref="G139:G142"/>
    <mergeCell ref="H139:H142"/>
    <mergeCell ref="I139:I142"/>
    <mergeCell ref="P134:P138"/>
    <mergeCell ref="Q134:Q138"/>
    <mergeCell ref="R134:R138"/>
    <mergeCell ref="S134:S138"/>
    <mergeCell ref="T134:T138"/>
    <mergeCell ref="AD134:AD138"/>
    <mergeCell ref="I134:I138"/>
    <mergeCell ref="J134:J138"/>
    <mergeCell ref="K134:K138"/>
    <mergeCell ref="M134:M138"/>
    <mergeCell ref="N134:N138"/>
    <mergeCell ref="O134:O138"/>
    <mergeCell ref="C145:C150"/>
    <mergeCell ref="D145:D150"/>
    <mergeCell ref="E145:E150"/>
    <mergeCell ref="F145:F150"/>
    <mergeCell ref="G145:G150"/>
    <mergeCell ref="H145:H150"/>
    <mergeCell ref="T129:T133"/>
    <mergeCell ref="AD129:AD133"/>
    <mergeCell ref="AE129:AE133"/>
    <mergeCell ref="A134:A138"/>
    <mergeCell ref="B134:B138"/>
    <mergeCell ref="D134:D138"/>
    <mergeCell ref="E134:E138"/>
    <mergeCell ref="F134:F138"/>
    <mergeCell ref="G134:G138"/>
    <mergeCell ref="H134:H138"/>
    <mergeCell ref="N129:N133"/>
    <mergeCell ref="O129:O133"/>
    <mergeCell ref="P129:P133"/>
    <mergeCell ref="Q129:Q133"/>
    <mergeCell ref="R129:R133"/>
    <mergeCell ref="S129:S133"/>
    <mergeCell ref="G129:G133"/>
    <mergeCell ref="H129:H133"/>
    <mergeCell ref="I129:I133"/>
    <mergeCell ref="J129:J133"/>
    <mergeCell ref="K129:K133"/>
    <mergeCell ref="M129:M133"/>
    <mergeCell ref="AE134:AE138"/>
    <mergeCell ref="A129:A133"/>
    <mergeCell ref="B129:B133"/>
    <mergeCell ref="D129:D133"/>
    <mergeCell ref="E129:E133"/>
    <mergeCell ref="F129:F133"/>
    <mergeCell ref="H118:H127"/>
    <mergeCell ref="I118:I127"/>
    <mergeCell ref="J118:J127"/>
    <mergeCell ref="K118:K127"/>
    <mergeCell ref="L118:L127"/>
    <mergeCell ref="T112:T117"/>
    <mergeCell ref="AD112:AD117"/>
    <mergeCell ref="AE112:AE117"/>
    <mergeCell ref="AG112:AG117"/>
    <mergeCell ref="A118:A127"/>
    <mergeCell ref="B118:B127"/>
    <mergeCell ref="C118:C127"/>
    <mergeCell ref="D118:D127"/>
    <mergeCell ref="E118:E127"/>
    <mergeCell ref="F118:F127"/>
    <mergeCell ref="N112:N117"/>
    <mergeCell ref="O112:O117"/>
    <mergeCell ref="P112:P117"/>
    <mergeCell ref="Q112:Q117"/>
    <mergeCell ref="R112:R117"/>
    <mergeCell ref="S112:S117"/>
    <mergeCell ref="H112:H117"/>
    <mergeCell ref="I112:I117"/>
    <mergeCell ref="J112:J117"/>
    <mergeCell ref="K112:K117"/>
    <mergeCell ref="L112:L117"/>
    <mergeCell ref="M112:M117"/>
    <mergeCell ref="S118:S127"/>
    <mergeCell ref="T118:T127"/>
    <mergeCell ref="AD118:AD127"/>
    <mergeCell ref="AE118:AE127"/>
    <mergeCell ref="AG118:AG127"/>
    <mergeCell ref="A112:A117"/>
    <mergeCell ref="B112:B117"/>
    <mergeCell ref="D112:D117"/>
    <mergeCell ref="E112:E117"/>
    <mergeCell ref="F112:F117"/>
    <mergeCell ref="G112:G117"/>
    <mergeCell ref="M107:M111"/>
    <mergeCell ref="N107:N111"/>
    <mergeCell ref="O107:O111"/>
    <mergeCell ref="P107:P111"/>
    <mergeCell ref="Q107:Q111"/>
    <mergeCell ref="R107:R111"/>
    <mergeCell ref="G107:G111"/>
    <mergeCell ref="H107:H111"/>
    <mergeCell ref="I107:I111"/>
    <mergeCell ref="J107:J111"/>
    <mergeCell ref="K107:K111"/>
    <mergeCell ref="L107:L111"/>
    <mergeCell ref="M118:M127"/>
    <mergeCell ref="N118:N127"/>
    <mergeCell ref="O118:O127"/>
    <mergeCell ref="P118:P127"/>
    <mergeCell ref="Q118:Q127"/>
    <mergeCell ref="R118:R127"/>
    <mergeCell ref="G118:G127"/>
    <mergeCell ref="S101:S106"/>
    <mergeCell ref="T101:T106"/>
    <mergeCell ref="AD101:AD106"/>
    <mergeCell ref="AE101:AE106"/>
    <mergeCell ref="A107:A111"/>
    <mergeCell ref="B107:B111"/>
    <mergeCell ref="C107:C111"/>
    <mergeCell ref="D107:D111"/>
    <mergeCell ref="E107:E111"/>
    <mergeCell ref="F107:F111"/>
    <mergeCell ref="M101:M106"/>
    <mergeCell ref="N101:N106"/>
    <mergeCell ref="O101:O106"/>
    <mergeCell ref="P101:P106"/>
    <mergeCell ref="Q101:Q106"/>
    <mergeCell ref="R101:R106"/>
    <mergeCell ref="G101:G106"/>
    <mergeCell ref="H101:H106"/>
    <mergeCell ref="I101:I106"/>
    <mergeCell ref="J101:J106"/>
    <mergeCell ref="K101:K106"/>
    <mergeCell ref="L101:L106"/>
    <mergeCell ref="S107:S111"/>
    <mergeCell ref="T107:T111"/>
    <mergeCell ref="AD107:AD111"/>
    <mergeCell ref="AE107:AE111"/>
    <mergeCell ref="A101:A106"/>
    <mergeCell ref="B101:B106"/>
    <mergeCell ref="C101:C106"/>
    <mergeCell ref="D101:D106"/>
    <mergeCell ref="E101:E106"/>
    <mergeCell ref="F101:F106"/>
    <mergeCell ref="M86:M100"/>
    <mergeCell ref="N86:N100"/>
    <mergeCell ref="O86:O100"/>
    <mergeCell ref="P86:P100"/>
    <mergeCell ref="Q86:Q100"/>
    <mergeCell ref="R86:R100"/>
    <mergeCell ref="G86:G100"/>
    <mergeCell ref="H86:H100"/>
    <mergeCell ref="I86:I100"/>
    <mergeCell ref="J86:J100"/>
    <mergeCell ref="K86:K100"/>
    <mergeCell ref="L86:L100"/>
    <mergeCell ref="S70:S85"/>
    <mergeCell ref="T70:T85"/>
    <mergeCell ref="AD70:AD85"/>
    <mergeCell ref="AE70:AE85"/>
    <mergeCell ref="A86:A100"/>
    <mergeCell ref="B86:B100"/>
    <mergeCell ref="C86:C100"/>
    <mergeCell ref="D86:D100"/>
    <mergeCell ref="E86:E100"/>
    <mergeCell ref="F86:F100"/>
    <mergeCell ref="M70:M85"/>
    <mergeCell ref="N70:N85"/>
    <mergeCell ref="O70:O85"/>
    <mergeCell ref="P70:P85"/>
    <mergeCell ref="Q70:Q85"/>
    <mergeCell ref="R70:R85"/>
    <mergeCell ref="G70:G85"/>
    <mergeCell ref="H70:H85"/>
    <mergeCell ref="I70:I85"/>
    <mergeCell ref="J70:J85"/>
    <mergeCell ref="K70:K85"/>
    <mergeCell ref="L70:L85"/>
    <mergeCell ref="A70:A85"/>
    <mergeCell ref="B70:B85"/>
    <mergeCell ref="C70:C85"/>
    <mergeCell ref="D70:D85"/>
    <mergeCell ref="E70:E85"/>
    <mergeCell ref="F70:F85"/>
    <mergeCell ref="S86:S100"/>
    <mergeCell ref="T86:T100"/>
    <mergeCell ref="AD86:AD100"/>
    <mergeCell ref="AE86:AE100"/>
    <mergeCell ref="AE58:AE68"/>
    <mergeCell ref="C61:C68"/>
    <mergeCell ref="D61:D68"/>
    <mergeCell ref="E61:E68"/>
    <mergeCell ref="F61:F68"/>
    <mergeCell ref="G61:G68"/>
    <mergeCell ref="H61:H68"/>
    <mergeCell ref="I61:I68"/>
    <mergeCell ref="L61:L68"/>
    <mergeCell ref="AD61:AD68"/>
    <mergeCell ref="P58:P68"/>
    <mergeCell ref="Q58:Q68"/>
    <mergeCell ref="R58:R68"/>
    <mergeCell ref="S58:S68"/>
    <mergeCell ref="T58:T68"/>
    <mergeCell ref="AD58:AD60"/>
    <mergeCell ref="J58:J68"/>
    <mergeCell ref="K58:K68"/>
    <mergeCell ref="L58:L60"/>
    <mergeCell ref="M58:M68"/>
    <mergeCell ref="N58:N68"/>
    <mergeCell ref="O58:O68"/>
    <mergeCell ref="A58:A68"/>
    <mergeCell ref="B58:B68"/>
    <mergeCell ref="C58:C60"/>
    <mergeCell ref="D58:D60"/>
    <mergeCell ref="E58:E60"/>
    <mergeCell ref="F58:F60"/>
    <mergeCell ref="G58:G60"/>
    <mergeCell ref="H58:H60"/>
    <mergeCell ref="I58:I60"/>
    <mergeCell ref="P53:P55"/>
    <mergeCell ref="Q53:Q55"/>
    <mergeCell ref="R53:R55"/>
    <mergeCell ref="S53:S55"/>
    <mergeCell ref="T53:T55"/>
    <mergeCell ref="AD53:AD55"/>
    <mergeCell ref="J53:J55"/>
    <mergeCell ref="K53:K55"/>
    <mergeCell ref="L53:L55"/>
    <mergeCell ref="M53:M55"/>
    <mergeCell ref="N53:N55"/>
    <mergeCell ref="O53:O55"/>
    <mergeCell ref="AE42:AE52"/>
    <mergeCell ref="AF42:AF45"/>
    <mergeCell ref="A53:A55"/>
    <mergeCell ref="B53:B55"/>
    <mergeCell ref="D53:D55"/>
    <mergeCell ref="E53:E55"/>
    <mergeCell ref="F53:F55"/>
    <mergeCell ref="G53:G55"/>
    <mergeCell ref="H53:H55"/>
    <mergeCell ref="I53:I55"/>
    <mergeCell ref="P42:P52"/>
    <mergeCell ref="Q42:Q52"/>
    <mergeCell ref="R42:R52"/>
    <mergeCell ref="S42:S52"/>
    <mergeCell ref="T42:T52"/>
    <mergeCell ref="AD42:AD52"/>
    <mergeCell ref="J42:J52"/>
    <mergeCell ref="K42:K52"/>
    <mergeCell ref="L42:L52"/>
    <mergeCell ref="M42:M52"/>
    <mergeCell ref="N42:N52"/>
    <mergeCell ref="O42:O52"/>
    <mergeCell ref="AE53:AE55"/>
    <mergeCell ref="T27:T28"/>
    <mergeCell ref="AD27:AD28"/>
    <mergeCell ref="AE27:AE28"/>
    <mergeCell ref="K27:K28"/>
    <mergeCell ref="L27:L28"/>
    <mergeCell ref="M27:M28"/>
    <mergeCell ref="N27:N28"/>
    <mergeCell ref="O27:O28"/>
    <mergeCell ref="P27:P28"/>
    <mergeCell ref="AD34:AD40"/>
    <mergeCell ref="AF34:AF35"/>
    <mergeCell ref="A42:A52"/>
    <mergeCell ref="B42:B52"/>
    <mergeCell ref="D42:D52"/>
    <mergeCell ref="E42:E52"/>
    <mergeCell ref="F42:F52"/>
    <mergeCell ref="G42:G52"/>
    <mergeCell ref="H42:H52"/>
    <mergeCell ref="I42:I52"/>
    <mergeCell ref="T30:T40"/>
    <mergeCell ref="AD30:AD33"/>
    <mergeCell ref="AE30:AE40"/>
    <mergeCell ref="AF30:AF31"/>
    <mergeCell ref="D34:D40"/>
    <mergeCell ref="E34:E40"/>
    <mergeCell ref="F34:F40"/>
    <mergeCell ref="G34:G40"/>
    <mergeCell ref="H34:H40"/>
    <mergeCell ref="I34:I40"/>
    <mergeCell ref="N30:N40"/>
    <mergeCell ref="O30:O40"/>
    <mergeCell ref="P30:P40"/>
    <mergeCell ref="A25:A26"/>
    <mergeCell ref="B25:B26"/>
    <mergeCell ref="D25:D26"/>
    <mergeCell ref="E25:E26"/>
    <mergeCell ref="F25:F26"/>
    <mergeCell ref="G25:G26"/>
    <mergeCell ref="H25:H26"/>
    <mergeCell ref="I25:I26"/>
    <mergeCell ref="A30:A40"/>
    <mergeCell ref="B30:B40"/>
    <mergeCell ref="D30:D33"/>
    <mergeCell ref="E30:E33"/>
    <mergeCell ref="F30:F33"/>
    <mergeCell ref="G30:G33"/>
    <mergeCell ref="Q27:Q28"/>
    <mergeCell ref="R27:R28"/>
    <mergeCell ref="S27:S28"/>
    <mergeCell ref="Q30:Q40"/>
    <mergeCell ref="R30:R40"/>
    <mergeCell ref="S30:S40"/>
    <mergeCell ref="H30:H33"/>
    <mergeCell ref="I30:I33"/>
    <mergeCell ref="J30:J40"/>
    <mergeCell ref="K30:K40"/>
    <mergeCell ref="L30:L40"/>
    <mergeCell ref="M30:M40"/>
    <mergeCell ref="AK3:AK4"/>
    <mergeCell ref="C4:F4"/>
    <mergeCell ref="G4:K4"/>
    <mergeCell ref="A11:A24"/>
    <mergeCell ref="B11:B24"/>
    <mergeCell ref="D11:D24"/>
    <mergeCell ref="E11:E24"/>
    <mergeCell ref="F11:F24"/>
    <mergeCell ref="G11:G24"/>
    <mergeCell ref="H11:H24"/>
    <mergeCell ref="AE25:AE26"/>
    <mergeCell ref="A27:A28"/>
    <mergeCell ref="B27:B28"/>
    <mergeCell ref="D27:D28"/>
    <mergeCell ref="E27:E28"/>
    <mergeCell ref="F27:F28"/>
    <mergeCell ref="G27:G28"/>
    <mergeCell ref="H27:H28"/>
    <mergeCell ref="I27:I28"/>
    <mergeCell ref="J27:J28"/>
    <mergeCell ref="P25:P26"/>
    <mergeCell ref="Q25:Q26"/>
    <mergeCell ref="R25:R26"/>
    <mergeCell ref="S25:S26"/>
    <mergeCell ref="T25:T26"/>
    <mergeCell ref="AD25:AD26"/>
    <mergeCell ref="J25:J26"/>
    <mergeCell ref="K25:K26"/>
    <mergeCell ref="L25:L26"/>
    <mergeCell ref="M25:M26"/>
    <mergeCell ref="N25:N26"/>
    <mergeCell ref="O25:O26"/>
    <mergeCell ref="A1:AE2"/>
    <mergeCell ref="A3:A5"/>
    <mergeCell ref="B3:B5"/>
    <mergeCell ref="C3:K3"/>
    <mergeCell ref="M3:M5"/>
    <mergeCell ref="N3:N5"/>
    <mergeCell ref="O3:O5"/>
    <mergeCell ref="P3:T4"/>
    <mergeCell ref="U3:AD4"/>
    <mergeCell ref="AE3:AE5"/>
    <mergeCell ref="AD11:AD24"/>
    <mergeCell ref="AE11:AE24"/>
    <mergeCell ref="O11:O24"/>
    <mergeCell ref="P11:P24"/>
    <mergeCell ref="Q11:Q24"/>
    <mergeCell ref="R11:R24"/>
    <mergeCell ref="S11:S24"/>
    <mergeCell ref="T11:T24"/>
    <mergeCell ref="I11:I24"/>
    <mergeCell ref="J11:J24"/>
    <mergeCell ref="K11:K24"/>
    <mergeCell ref="L11:L24"/>
    <mergeCell ref="M11:M24"/>
    <mergeCell ref="N11:N24"/>
  </mergeCells>
  <pageMargins left="0.45" right="0.2" top="0.5" bottom="0.5" header="0.3" footer="0.3"/>
  <pageSetup paperSize="8" scale="62"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201"/>
  <sheetViews>
    <sheetView zoomScale="85" zoomScaleNormal="85" workbookViewId="0">
      <pane xSplit="4" ySplit="7" topLeftCell="E159" activePane="bottomRight" state="frozen"/>
      <selection pane="topRight"/>
      <selection pane="bottomLeft"/>
      <selection pane="bottomRight" activeCell="B163" sqref="B163:B166"/>
    </sheetView>
  </sheetViews>
  <sheetFormatPr defaultColWidth="9" defaultRowHeight="15"/>
  <cols>
    <col min="1" max="1" width="5.42578125" style="134" customWidth="1"/>
    <col min="2" max="2" width="27" style="29" customWidth="1"/>
    <col min="3" max="3" width="6" style="29" hidden="1" customWidth="1"/>
    <col min="4" max="4" width="5.42578125" style="29" customWidth="1"/>
    <col min="5" max="5" width="6.42578125" style="29" customWidth="1"/>
    <col min="6" max="6" width="9.5703125" style="134" customWidth="1"/>
    <col min="7" max="7" width="6.42578125" style="134" customWidth="1"/>
    <col min="8" max="8" width="8.7109375" style="134" customWidth="1"/>
    <col min="9" max="9" width="8.5703125" style="134" customWidth="1"/>
    <col min="10" max="10" width="10" style="134" customWidth="1"/>
    <col min="11" max="11" width="9.140625" style="134" customWidth="1"/>
    <col min="12" max="12" width="6.5703125" style="134" hidden="1" customWidth="1"/>
    <col min="13" max="13" width="8.140625" style="134" customWidth="1"/>
    <col min="14" max="14" width="8.42578125" style="134" customWidth="1"/>
    <col min="15" max="15" width="7.5703125" style="134" customWidth="1"/>
    <col min="16" max="16" width="8.42578125" style="134" customWidth="1"/>
    <col min="17" max="18" width="15.28515625" style="134" customWidth="1"/>
    <col min="19" max="19" width="14.85546875" style="134" customWidth="1"/>
    <col min="20" max="20" width="16" style="134" customWidth="1"/>
    <col min="21" max="21" width="29.7109375" style="29" customWidth="1"/>
    <col min="22" max="22" width="7.7109375" style="134" hidden="1" customWidth="1"/>
    <col min="23" max="23" width="7.85546875" style="134" hidden="1" customWidth="1"/>
    <col min="24" max="24" width="11.85546875" style="134" customWidth="1"/>
    <col min="25" max="25" width="8.7109375" style="29" customWidth="1"/>
    <col min="26" max="26" width="11.140625" style="134" customWidth="1"/>
    <col min="27" max="27" width="0.28515625" style="29" hidden="1" customWidth="1"/>
    <col min="28" max="28" width="9.7109375" style="29" customWidth="1"/>
    <col min="29" max="29" width="14.42578125" style="29" customWidth="1"/>
    <col min="30" max="30" width="15.140625" style="134" customWidth="1"/>
    <col min="31" max="31" width="16.140625" style="108" customWidth="1"/>
    <col min="32" max="32" width="16.140625" style="29" hidden="1" customWidth="1"/>
    <col min="33" max="33" width="16" style="29" hidden="1" customWidth="1"/>
    <col min="34" max="34" width="14" style="29" hidden="1" customWidth="1"/>
    <col min="35" max="35" width="17.42578125" style="29" customWidth="1"/>
    <col min="36" max="36" width="17.28515625" style="29" customWidth="1"/>
    <col min="37" max="37" width="18.140625" style="29" customWidth="1"/>
    <col min="38" max="16384" width="9" style="2"/>
  </cols>
  <sheetData>
    <row r="1" spans="1:37" ht="32.25" customHeight="1">
      <c r="A1" s="290" t="s">
        <v>686</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row>
    <row r="2" spans="1:37" ht="32.2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7" ht="21.75" customHeight="1">
      <c r="A3" s="288" t="s">
        <v>4</v>
      </c>
      <c r="B3" s="288" t="s">
        <v>613</v>
      </c>
      <c r="C3" s="288" t="s">
        <v>377</v>
      </c>
      <c r="D3" s="288"/>
      <c r="E3" s="288"/>
      <c r="F3" s="288"/>
      <c r="G3" s="288"/>
      <c r="H3" s="288"/>
      <c r="I3" s="288"/>
      <c r="J3" s="288"/>
      <c r="K3" s="288"/>
      <c r="L3" s="141"/>
      <c r="M3" s="288" t="s">
        <v>378</v>
      </c>
      <c r="N3" s="251" t="s">
        <v>379</v>
      </c>
      <c r="O3" s="251" t="s">
        <v>20</v>
      </c>
      <c r="P3" s="288" t="s">
        <v>380</v>
      </c>
      <c r="Q3" s="288"/>
      <c r="R3" s="288"/>
      <c r="S3" s="288"/>
      <c r="T3" s="288"/>
      <c r="U3" s="288" t="s">
        <v>381</v>
      </c>
      <c r="V3" s="288"/>
      <c r="W3" s="288"/>
      <c r="X3" s="288"/>
      <c r="Y3" s="288"/>
      <c r="Z3" s="288"/>
      <c r="AA3" s="288"/>
      <c r="AB3" s="288"/>
      <c r="AC3" s="288"/>
      <c r="AD3" s="288"/>
      <c r="AE3" s="288" t="s">
        <v>382</v>
      </c>
      <c r="AK3" s="287" t="s">
        <v>652</v>
      </c>
    </row>
    <row r="4" spans="1:37" ht="28.5" customHeight="1">
      <c r="A4" s="288"/>
      <c r="B4" s="288"/>
      <c r="C4" s="288" t="s">
        <v>383</v>
      </c>
      <c r="D4" s="288"/>
      <c r="E4" s="288"/>
      <c r="F4" s="288"/>
      <c r="G4" s="288" t="s">
        <v>384</v>
      </c>
      <c r="H4" s="288"/>
      <c r="I4" s="288"/>
      <c r="J4" s="288"/>
      <c r="K4" s="288"/>
      <c r="L4" s="141"/>
      <c r="M4" s="288"/>
      <c r="N4" s="251"/>
      <c r="O4" s="251"/>
      <c r="P4" s="288"/>
      <c r="Q4" s="288"/>
      <c r="R4" s="288"/>
      <c r="S4" s="288"/>
      <c r="T4" s="288"/>
      <c r="U4" s="288"/>
      <c r="V4" s="288"/>
      <c r="W4" s="288"/>
      <c r="X4" s="288"/>
      <c r="Y4" s="288"/>
      <c r="Z4" s="288"/>
      <c r="AA4" s="288"/>
      <c r="AB4" s="288"/>
      <c r="AC4" s="288"/>
      <c r="AD4" s="288"/>
      <c r="AE4" s="288"/>
      <c r="AF4" s="31"/>
      <c r="AK4" s="287"/>
    </row>
    <row r="5" spans="1:37" ht="92.25" customHeight="1">
      <c r="A5" s="288"/>
      <c r="B5" s="288"/>
      <c r="C5" s="141" t="s">
        <v>385</v>
      </c>
      <c r="D5" s="141" t="s">
        <v>13</v>
      </c>
      <c r="E5" s="141" t="s">
        <v>14</v>
      </c>
      <c r="F5" s="141" t="s">
        <v>621</v>
      </c>
      <c r="G5" s="141" t="s">
        <v>16</v>
      </c>
      <c r="H5" s="142" t="s">
        <v>620</v>
      </c>
      <c r="I5" s="33" t="s">
        <v>619</v>
      </c>
      <c r="J5" s="142" t="s">
        <v>386</v>
      </c>
      <c r="K5" s="142" t="s">
        <v>618</v>
      </c>
      <c r="L5" s="141" t="s">
        <v>19</v>
      </c>
      <c r="M5" s="288"/>
      <c r="N5" s="251"/>
      <c r="O5" s="251"/>
      <c r="P5" s="142" t="s">
        <v>387</v>
      </c>
      <c r="Q5" s="142" t="s">
        <v>388</v>
      </c>
      <c r="R5" s="142" t="s">
        <v>389</v>
      </c>
      <c r="S5" s="142" t="s">
        <v>390</v>
      </c>
      <c r="T5" s="142" t="s">
        <v>391</v>
      </c>
      <c r="U5" s="141" t="s">
        <v>21</v>
      </c>
      <c r="V5" s="141" t="s">
        <v>406</v>
      </c>
      <c r="W5" s="141" t="s">
        <v>557</v>
      </c>
      <c r="X5" s="141" t="s">
        <v>22</v>
      </c>
      <c r="Y5" s="142" t="s">
        <v>23</v>
      </c>
      <c r="Z5" s="142" t="s">
        <v>5</v>
      </c>
      <c r="AA5" s="141" t="s">
        <v>24</v>
      </c>
      <c r="AB5" s="141" t="s">
        <v>25</v>
      </c>
      <c r="AC5" s="142" t="s">
        <v>392</v>
      </c>
      <c r="AD5" s="142" t="s">
        <v>393</v>
      </c>
      <c r="AE5" s="288"/>
      <c r="AF5" s="31"/>
    </row>
    <row r="6" spans="1:37" ht="15.75" customHeight="1">
      <c r="A6" s="141"/>
      <c r="B6" s="34"/>
      <c r="C6" s="141"/>
      <c r="D6" s="141"/>
      <c r="E6" s="141"/>
      <c r="F6" s="141"/>
      <c r="G6" s="141"/>
      <c r="H6" s="142"/>
      <c r="I6" s="33"/>
      <c r="J6" s="149"/>
      <c r="K6" s="149"/>
      <c r="L6" s="141"/>
      <c r="M6" s="141"/>
      <c r="N6" s="142"/>
      <c r="O6" s="142"/>
      <c r="P6" s="142">
        <v>80000</v>
      </c>
      <c r="Q6" s="142"/>
      <c r="R6" s="142">
        <f>P6*3</f>
        <v>240000</v>
      </c>
      <c r="S6" s="142">
        <f>17000*30</f>
        <v>510000</v>
      </c>
      <c r="T6" s="142"/>
      <c r="U6" s="36"/>
      <c r="V6" s="141"/>
      <c r="W6" s="141"/>
      <c r="X6" s="141"/>
      <c r="Y6" s="142"/>
      <c r="Z6" s="142"/>
      <c r="AA6" s="141"/>
      <c r="AB6" s="141"/>
      <c r="AC6" s="142"/>
      <c r="AD6" s="142"/>
      <c r="AE6" s="141"/>
      <c r="AF6" s="31"/>
    </row>
    <row r="7" spans="1:37" s="133" customFormat="1" ht="15.75">
      <c r="A7" s="141">
        <v>1</v>
      </c>
      <c r="B7" s="141">
        <v>2</v>
      </c>
      <c r="C7" s="141"/>
      <c r="D7" s="141">
        <v>3</v>
      </c>
      <c r="E7" s="141">
        <v>4</v>
      </c>
      <c r="F7" s="141">
        <v>5</v>
      </c>
      <c r="G7" s="141">
        <v>6</v>
      </c>
      <c r="H7" s="142">
        <v>7</v>
      </c>
      <c r="I7" s="142">
        <v>8</v>
      </c>
      <c r="J7" s="149">
        <v>9</v>
      </c>
      <c r="K7" s="149">
        <v>10</v>
      </c>
      <c r="L7" s="141"/>
      <c r="M7" s="141">
        <v>11</v>
      </c>
      <c r="N7" s="142">
        <v>12</v>
      </c>
      <c r="O7" s="142">
        <v>13</v>
      </c>
      <c r="P7" s="142">
        <v>14</v>
      </c>
      <c r="Q7" s="142">
        <v>15</v>
      </c>
      <c r="R7" s="142">
        <v>16</v>
      </c>
      <c r="S7" s="142">
        <v>17</v>
      </c>
      <c r="T7" s="142">
        <v>18</v>
      </c>
      <c r="U7" s="141">
        <v>19</v>
      </c>
      <c r="V7" s="141"/>
      <c r="W7" s="141"/>
      <c r="X7" s="141">
        <v>20</v>
      </c>
      <c r="Y7" s="142">
        <v>21</v>
      </c>
      <c r="Z7" s="142">
        <v>22</v>
      </c>
      <c r="AA7" s="141">
        <v>23</v>
      </c>
      <c r="AB7" s="141">
        <v>24</v>
      </c>
      <c r="AC7" s="142">
        <v>25</v>
      </c>
      <c r="AD7" s="142">
        <v>26</v>
      </c>
      <c r="AE7" s="141" t="s">
        <v>394</v>
      </c>
      <c r="AF7" s="135"/>
      <c r="AG7" s="134"/>
      <c r="AH7" s="134"/>
      <c r="AI7" s="134"/>
      <c r="AJ7" s="134"/>
      <c r="AK7" s="134"/>
    </row>
    <row r="8" spans="1:37" s="14" customFormat="1" ht="25.5" customHeight="1">
      <c r="A8" s="141"/>
      <c r="B8" s="34" t="s">
        <v>612</v>
      </c>
      <c r="C8" s="34"/>
      <c r="D8" s="34"/>
      <c r="E8" s="34"/>
      <c r="F8" s="141"/>
      <c r="G8" s="141"/>
      <c r="H8" s="141"/>
      <c r="I8" s="141"/>
      <c r="J8" s="146"/>
      <c r="K8" s="146"/>
      <c r="L8" s="141"/>
      <c r="M8" s="141"/>
      <c r="N8" s="141"/>
      <c r="O8" s="141"/>
      <c r="P8" s="141"/>
      <c r="Q8" s="141"/>
      <c r="R8" s="141"/>
      <c r="S8" s="141"/>
      <c r="T8" s="141"/>
      <c r="U8" s="34"/>
      <c r="V8" s="141"/>
      <c r="W8" s="141"/>
      <c r="X8" s="141"/>
      <c r="Y8" s="34"/>
      <c r="Z8" s="141"/>
      <c r="AA8" s="34"/>
      <c r="AB8" s="34"/>
      <c r="AC8" s="34"/>
      <c r="AD8" s="141"/>
      <c r="AE8" s="141"/>
      <c r="AF8" s="40"/>
      <c r="AG8" s="40"/>
      <c r="AH8" s="40"/>
      <c r="AI8" s="40"/>
      <c r="AJ8" s="40"/>
      <c r="AK8" s="40"/>
    </row>
    <row r="9" spans="1:37" s="24" customFormat="1" ht="43.5" customHeight="1">
      <c r="A9" s="41">
        <v>1</v>
      </c>
      <c r="B9" s="42" t="s">
        <v>581</v>
      </c>
      <c r="C9" s="43"/>
      <c r="D9" s="44">
        <v>64</v>
      </c>
      <c r="E9" s="44">
        <v>384</v>
      </c>
      <c r="F9" s="44">
        <v>217.6</v>
      </c>
      <c r="G9" s="44" t="s">
        <v>397</v>
      </c>
      <c r="H9" s="44">
        <v>216</v>
      </c>
      <c r="I9" s="44">
        <f>F9-H9</f>
        <v>1.5999999999999943</v>
      </c>
      <c r="J9" s="46">
        <v>216</v>
      </c>
      <c r="K9" s="45">
        <v>756</v>
      </c>
      <c r="L9" s="45"/>
      <c r="M9" s="46">
        <f>J9/K9*100</f>
        <v>28.571428571428569</v>
      </c>
      <c r="N9" s="47">
        <f>IF(M9&lt;10,2,IF(M9&lt;20,3,IF(M9&lt;30,5,IF(M9&gt;=70,12,IF(M9&gt;=30,6)))))</f>
        <v>5</v>
      </c>
      <c r="O9" s="47">
        <v>5</v>
      </c>
      <c r="P9" s="136">
        <f>$P$6</f>
        <v>80000</v>
      </c>
      <c r="Q9" s="136">
        <f>H9*P9</f>
        <v>17280000</v>
      </c>
      <c r="R9" s="136">
        <f>Q9*3</f>
        <v>51840000</v>
      </c>
      <c r="S9" s="136">
        <f>N9*O9*17000*30</f>
        <v>12750000</v>
      </c>
      <c r="T9" s="136">
        <f>S9+R9+Q9</f>
        <v>81870000</v>
      </c>
      <c r="U9" s="145" t="s">
        <v>591</v>
      </c>
      <c r="V9" s="41"/>
      <c r="W9" s="41"/>
      <c r="X9" s="50" t="s">
        <v>0</v>
      </c>
      <c r="Y9" s="44">
        <v>216</v>
      </c>
      <c r="Z9" s="47">
        <v>97000</v>
      </c>
      <c r="AA9" s="43"/>
      <c r="AB9" s="51">
        <v>1</v>
      </c>
      <c r="AC9" s="52">
        <f>Y9*Z9*AB9</f>
        <v>20952000</v>
      </c>
      <c r="AD9" s="47">
        <f>AC9</f>
        <v>20952000</v>
      </c>
      <c r="AE9" s="53">
        <f>AD9+T9</f>
        <v>102822000</v>
      </c>
      <c r="AF9" s="54"/>
      <c r="AG9" s="55"/>
      <c r="AH9" s="55"/>
      <c r="AI9" s="55"/>
      <c r="AJ9" s="55"/>
      <c r="AK9" s="55"/>
    </row>
    <row r="10" spans="1:37" s="24" customFormat="1" ht="43.5" customHeight="1">
      <c r="A10" s="44">
        <v>2</v>
      </c>
      <c r="B10" s="42" t="s">
        <v>582</v>
      </c>
      <c r="C10" s="43"/>
      <c r="D10" s="44">
        <v>64</v>
      </c>
      <c r="E10" s="44">
        <v>379</v>
      </c>
      <c r="F10" s="44">
        <v>216.1</v>
      </c>
      <c r="G10" s="44" t="s">
        <v>397</v>
      </c>
      <c r="H10" s="44">
        <v>216</v>
      </c>
      <c r="I10" s="44">
        <f>F10-H10</f>
        <v>9.9999999999994316E-2</v>
      </c>
      <c r="J10" s="46">
        <v>216</v>
      </c>
      <c r="K10" s="45">
        <v>756</v>
      </c>
      <c r="L10" s="45"/>
      <c r="M10" s="46">
        <f>J10/K10*100</f>
        <v>28.571428571428569</v>
      </c>
      <c r="N10" s="47">
        <f>IF(M10&lt;10,2,IF(M10&lt;20,3,IF(M10&lt;30,5,IF(M10&gt;=70,12,IF(M10&gt;=30,6)))))</f>
        <v>5</v>
      </c>
      <c r="O10" s="47">
        <v>3</v>
      </c>
      <c r="P10" s="136">
        <f>$P$6</f>
        <v>80000</v>
      </c>
      <c r="Q10" s="136">
        <f>H10*P10</f>
        <v>17280000</v>
      </c>
      <c r="R10" s="136">
        <f>Q10*3</f>
        <v>51840000</v>
      </c>
      <c r="S10" s="136">
        <f>N10*O10*17000*30</f>
        <v>7650000</v>
      </c>
      <c r="T10" s="136">
        <f>S10+R10+Q10</f>
        <v>76770000</v>
      </c>
      <c r="U10" s="145" t="s">
        <v>591</v>
      </c>
      <c r="V10" s="41"/>
      <c r="W10" s="41"/>
      <c r="X10" s="50" t="s">
        <v>0</v>
      </c>
      <c r="Y10" s="44">
        <v>216</v>
      </c>
      <c r="Z10" s="47">
        <v>97000</v>
      </c>
      <c r="AA10" s="43"/>
      <c r="AB10" s="51">
        <v>1</v>
      </c>
      <c r="AC10" s="52">
        <f>Y10*Z10*AB10</f>
        <v>20952000</v>
      </c>
      <c r="AD10" s="47">
        <f>AC10</f>
        <v>20952000</v>
      </c>
      <c r="AE10" s="53">
        <f>AD10+T10</f>
        <v>97722000</v>
      </c>
      <c r="AF10" s="54"/>
      <c r="AG10" s="55"/>
      <c r="AH10" s="55"/>
      <c r="AI10" s="55"/>
      <c r="AJ10" s="55"/>
      <c r="AK10" s="55"/>
    </row>
    <row r="11" spans="1:37" s="25" customFormat="1" ht="43.5" customHeight="1">
      <c r="A11" s="262">
        <v>3</v>
      </c>
      <c r="B11" s="271" t="s">
        <v>614</v>
      </c>
      <c r="C11" s="56"/>
      <c r="D11" s="279">
        <v>65</v>
      </c>
      <c r="E11" s="289">
        <v>34</v>
      </c>
      <c r="F11" s="289">
        <v>360</v>
      </c>
      <c r="G11" s="279" t="s">
        <v>397</v>
      </c>
      <c r="H11" s="262">
        <v>360</v>
      </c>
      <c r="I11" s="274">
        <f>F11-H11</f>
        <v>0</v>
      </c>
      <c r="J11" s="269">
        <v>360</v>
      </c>
      <c r="K11" s="262">
        <v>360</v>
      </c>
      <c r="L11" s="262"/>
      <c r="M11" s="269">
        <f>J11/K11*100</f>
        <v>100</v>
      </c>
      <c r="N11" s="264">
        <f>IF(M11&lt;10,2,IF(M11&lt;20,3,IF(M11&lt;30,5,IF(M11&gt;=70,12,IF(M11&gt;=30,6)))))</f>
        <v>12</v>
      </c>
      <c r="O11" s="264">
        <v>4</v>
      </c>
      <c r="P11" s="264">
        <f>$P$6</f>
        <v>80000</v>
      </c>
      <c r="Q11" s="264">
        <f>K11*P11</f>
        <v>28800000</v>
      </c>
      <c r="R11" s="264">
        <f>Q11*3</f>
        <v>86400000</v>
      </c>
      <c r="S11" s="264">
        <f>N11*O11*17000*30</f>
        <v>24480000</v>
      </c>
      <c r="T11" s="264">
        <f>S11+R11+Q11</f>
        <v>139680000</v>
      </c>
      <c r="U11" s="145" t="s">
        <v>591</v>
      </c>
      <c r="V11" s="146"/>
      <c r="W11" s="146"/>
      <c r="X11" s="50" t="s">
        <v>0</v>
      </c>
      <c r="Y11" s="136">
        <v>360</v>
      </c>
      <c r="Z11" s="136">
        <v>97000</v>
      </c>
      <c r="AA11" s="56"/>
      <c r="AB11" s="57">
        <v>1</v>
      </c>
      <c r="AC11" s="149">
        <f t="shared" ref="AC11:AC13" si="0">Y11*Z11*AB11</f>
        <v>34920000</v>
      </c>
      <c r="AD11" s="264">
        <f>AC11+AC12</f>
        <v>34920000</v>
      </c>
      <c r="AE11" s="268">
        <f>AD11+T11</f>
        <v>174600000</v>
      </c>
      <c r="AF11" s="58"/>
      <c r="AG11" s="59"/>
      <c r="AH11" s="59"/>
      <c r="AI11" s="59"/>
      <c r="AJ11" s="59"/>
      <c r="AK11" s="59"/>
    </row>
    <row r="12" spans="1:37" s="25" customFormat="1" ht="43.5" customHeight="1">
      <c r="A12" s="262"/>
      <c r="B12" s="271"/>
      <c r="C12" s="56"/>
      <c r="D12" s="279"/>
      <c r="E12" s="289"/>
      <c r="F12" s="289"/>
      <c r="G12" s="279"/>
      <c r="H12" s="262"/>
      <c r="I12" s="276"/>
      <c r="J12" s="269"/>
      <c r="K12" s="262"/>
      <c r="L12" s="262"/>
      <c r="M12" s="269"/>
      <c r="N12" s="264"/>
      <c r="O12" s="264"/>
      <c r="P12" s="264"/>
      <c r="Q12" s="264"/>
      <c r="R12" s="264"/>
      <c r="S12" s="264"/>
      <c r="T12" s="264"/>
      <c r="U12" s="145" t="s">
        <v>598</v>
      </c>
      <c r="V12" s="146"/>
      <c r="W12" s="146"/>
      <c r="X12" s="137" t="s">
        <v>628</v>
      </c>
      <c r="Y12" s="147">
        <v>19.95</v>
      </c>
      <c r="Z12" s="62">
        <v>0</v>
      </c>
      <c r="AA12" s="56"/>
      <c r="AB12" s="149">
        <v>0</v>
      </c>
      <c r="AC12" s="149">
        <f t="shared" si="0"/>
        <v>0</v>
      </c>
      <c r="AD12" s="262"/>
      <c r="AE12" s="283"/>
      <c r="AF12" s="58"/>
      <c r="AG12" s="59"/>
      <c r="AH12" s="59"/>
      <c r="AI12" s="59"/>
      <c r="AJ12" s="59"/>
      <c r="AK12" s="59"/>
    </row>
    <row r="13" spans="1:37" s="25" customFormat="1" ht="43.5" customHeight="1">
      <c r="A13" s="137">
        <v>4</v>
      </c>
      <c r="B13" s="145" t="s">
        <v>585</v>
      </c>
      <c r="C13" s="56"/>
      <c r="D13" s="140">
        <v>65</v>
      </c>
      <c r="E13" s="140">
        <v>12</v>
      </c>
      <c r="F13" s="140">
        <v>288</v>
      </c>
      <c r="G13" s="140" t="s">
        <v>397</v>
      </c>
      <c r="H13" s="137">
        <v>288</v>
      </c>
      <c r="I13" s="137">
        <f>F13-H13</f>
        <v>0</v>
      </c>
      <c r="J13" s="143">
        <v>288</v>
      </c>
      <c r="K13" s="137">
        <v>288</v>
      </c>
      <c r="L13" s="137"/>
      <c r="M13" s="143">
        <f>J13/K13*100</f>
        <v>100</v>
      </c>
      <c r="N13" s="136">
        <f>IF(M13&lt;10,2,IF(M13&lt;20,3,IF(M13&lt;30,5,IF(M13&gt;=70,12,IF(M13&gt;=30,6)))))</f>
        <v>12</v>
      </c>
      <c r="O13" s="136">
        <v>4</v>
      </c>
      <c r="P13" s="136">
        <f>$P$6</f>
        <v>80000</v>
      </c>
      <c r="Q13" s="136">
        <f>K13*P13</f>
        <v>23040000</v>
      </c>
      <c r="R13" s="136">
        <f>Q13*3</f>
        <v>69120000</v>
      </c>
      <c r="S13" s="136">
        <f>N13*O13*17000*30</f>
        <v>24480000</v>
      </c>
      <c r="T13" s="136">
        <f>S13+R13+Q13</f>
        <v>116640000</v>
      </c>
      <c r="U13" s="65" t="s">
        <v>623</v>
      </c>
      <c r="V13" s="50"/>
      <c r="W13" s="50"/>
      <c r="X13" s="50" t="s">
        <v>0</v>
      </c>
      <c r="Y13" s="136">
        <v>288</v>
      </c>
      <c r="Z13" s="62">
        <v>63000</v>
      </c>
      <c r="AA13" s="56"/>
      <c r="AB13" s="57">
        <v>1</v>
      </c>
      <c r="AC13" s="149">
        <f t="shared" si="0"/>
        <v>18144000</v>
      </c>
      <c r="AD13" s="136">
        <f>AC13</f>
        <v>18144000</v>
      </c>
      <c r="AE13" s="138">
        <f>AD13+T13</f>
        <v>134784000</v>
      </c>
      <c r="AF13" s="58"/>
      <c r="AG13" s="59"/>
      <c r="AH13" s="59"/>
      <c r="AI13" s="59"/>
      <c r="AJ13" s="59"/>
      <c r="AK13" s="59"/>
    </row>
    <row r="14" spans="1:37" s="25" customFormat="1" ht="34.5" customHeight="1">
      <c r="A14" s="262">
        <v>5</v>
      </c>
      <c r="B14" s="258" t="s">
        <v>586</v>
      </c>
      <c r="C14" s="56"/>
      <c r="D14" s="279">
        <v>64</v>
      </c>
      <c r="E14" s="279">
        <v>391</v>
      </c>
      <c r="F14" s="279">
        <v>252.1</v>
      </c>
      <c r="G14" s="279" t="s">
        <v>28</v>
      </c>
      <c r="H14" s="279">
        <v>252</v>
      </c>
      <c r="I14" s="284">
        <f>F14-H14</f>
        <v>9.9999999999994316E-2</v>
      </c>
      <c r="J14" s="280">
        <f>H14+H18</f>
        <v>612</v>
      </c>
      <c r="K14" s="262">
        <v>612</v>
      </c>
      <c r="L14" s="262"/>
      <c r="M14" s="262">
        <f>J14/K14*100</f>
        <v>100</v>
      </c>
      <c r="N14" s="262">
        <v>12</v>
      </c>
      <c r="O14" s="262">
        <v>7</v>
      </c>
      <c r="P14" s="264">
        <v>80000</v>
      </c>
      <c r="Q14" s="264">
        <f>P14*K14</f>
        <v>48960000</v>
      </c>
      <c r="R14" s="264">
        <f>Q14*3</f>
        <v>146880000</v>
      </c>
      <c r="S14" s="264">
        <f>N14*O14*17000*30</f>
        <v>42840000</v>
      </c>
      <c r="T14" s="264">
        <f>SUM(Q14:S24)</f>
        <v>238680000</v>
      </c>
      <c r="U14" s="65" t="s">
        <v>622</v>
      </c>
      <c r="V14" s="50">
        <v>25</v>
      </c>
      <c r="W14" s="50">
        <f>H14/V14</f>
        <v>10.08</v>
      </c>
      <c r="X14" s="137" t="str">
        <f>'[2]bang gia'!$C$46</f>
        <v>đồng/cây</v>
      </c>
      <c r="Y14" s="136">
        <v>13</v>
      </c>
      <c r="Z14" s="136"/>
      <c r="AA14" s="56"/>
      <c r="AB14" s="146"/>
      <c r="AC14" s="149"/>
      <c r="AD14" s="264">
        <f>SUM(AC14:AC17)</f>
        <v>51750000</v>
      </c>
      <c r="AE14" s="268">
        <f>T14+AD14+AD18</f>
        <v>362430000</v>
      </c>
      <c r="AF14" s="278" t="s">
        <v>415</v>
      </c>
      <c r="AG14" s="59"/>
      <c r="AH14" s="59"/>
      <c r="AI14" s="59"/>
      <c r="AJ14" s="59"/>
      <c r="AK14" s="59"/>
    </row>
    <row r="15" spans="1:37" s="25" customFormat="1" ht="27" customHeight="1">
      <c r="A15" s="262"/>
      <c r="B15" s="258"/>
      <c r="C15" s="56"/>
      <c r="D15" s="279"/>
      <c r="E15" s="279"/>
      <c r="F15" s="279"/>
      <c r="G15" s="279"/>
      <c r="H15" s="279"/>
      <c r="I15" s="285"/>
      <c r="J15" s="281"/>
      <c r="K15" s="262"/>
      <c r="L15" s="262"/>
      <c r="M15" s="262"/>
      <c r="N15" s="262"/>
      <c r="O15" s="262"/>
      <c r="P15" s="264"/>
      <c r="Q15" s="264"/>
      <c r="R15" s="264"/>
      <c r="S15" s="264"/>
      <c r="T15" s="264"/>
      <c r="U15" s="67" t="s">
        <v>421</v>
      </c>
      <c r="V15" s="50"/>
      <c r="W15" s="50"/>
      <c r="X15" s="137" t="str">
        <f>'[2]bang gia'!$C$46</f>
        <v>đồng/cây</v>
      </c>
      <c r="Y15" s="136">
        <v>10</v>
      </c>
      <c r="Z15" s="136">
        <f>'[2]bang gia'!$D$46</f>
        <v>4500000</v>
      </c>
      <c r="AA15" s="56"/>
      <c r="AB15" s="68">
        <v>1</v>
      </c>
      <c r="AC15" s="149">
        <f>Y15*Z15*AB15</f>
        <v>45000000</v>
      </c>
      <c r="AD15" s="262"/>
      <c r="AE15" s="268"/>
      <c r="AF15" s="278"/>
      <c r="AG15" s="59"/>
      <c r="AH15" s="59"/>
      <c r="AI15" s="59"/>
      <c r="AJ15" s="59"/>
      <c r="AK15" s="59"/>
    </row>
    <row r="16" spans="1:37" s="25" customFormat="1" ht="27" customHeight="1">
      <c r="A16" s="262"/>
      <c r="B16" s="258"/>
      <c r="C16" s="56"/>
      <c r="D16" s="279"/>
      <c r="E16" s="279"/>
      <c r="F16" s="279"/>
      <c r="G16" s="279"/>
      <c r="H16" s="279"/>
      <c r="I16" s="285"/>
      <c r="J16" s="281"/>
      <c r="K16" s="262"/>
      <c r="L16" s="262"/>
      <c r="M16" s="262"/>
      <c r="N16" s="262"/>
      <c r="O16" s="262"/>
      <c r="P16" s="264"/>
      <c r="Q16" s="264"/>
      <c r="R16" s="264"/>
      <c r="S16" s="264"/>
      <c r="T16" s="264"/>
      <c r="U16" s="67" t="s">
        <v>423</v>
      </c>
      <c r="V16" s="50"/>
      <c r="W16" s="50">
        <f>0.3*W14</f>
        <v>3.024</v>
      </c>
      <c r="X16" s="137" t="str">
        <f>'[2]bang gia'!$C$46</f>
        <v>đồng/cây</v>
      </c>
      <c r="Y16" s="136">
        <v>3</v>
      </c>
      <c r="Z16" s="136">
        <f>'[2]bang gia'!$D$46</f>
        <v>4500000</v>
      </c>
      <c r="AA16" s="56"/>
      <c r="AB16" s="57">
        <v>0.5</v>
      </c>
      <c r="AC16" s="149">
        <f>Y16*Z16*AB16</f>
        <v>6750000</v>
      </c>
      <c r="AD16" s="262"/>
      <c r="AE16" s="268"/>
      <c r="AF16" s="58"/>
      <c r="AG16" s="59"/>
      <c r="AH16" s="59"/>
      <c r="AI16" s="59"/>
      <c r="AJ16" s="59"/>
      <c r="AK16" s="59"/>
    </row>
    <row r="17" spans="1:37" s="25" customFormat="1" ht="27" customHeight="1">
      <c r="A17" s="262"/>
      <c r="B17" s="258"/>
      <c r="C17" s="56"/>
      <c r="D17" s="279"/>
      <c r="E17" s="279"/>
      <c r="F17" s="279"/>
      <c r="G17" s="279"/>
      <c r="H17" s="279"/>
      <c r="I17" s="286"/>
      <c r="J17" s="281"/>
      <c r="K17" s="262"/>
      <c r="L17" s="262"/>
      <c r="M17" s="262"/>
      <c r="N17" s="262"/>
      <c r="O17" s="262"/>
      <c r="P17" s="264"/>
      <c r="Q17" s="264"/>
      <c r="R17" s="264"/>
      <c r="S17" s="264"/>
      <c r="T17" s="264"/>
      <c r="U17" s="145" t="s">
        <v>600</v>
      </c>
      <c r="V17" s="146"/>
      <c r="W17" s="146"/>
      <c r="X17" s="137" t="s">
        <v>628</v>
      </c>
      <c r="Y17" s="147">
        <v>0.3</v>
      </c>
      <c r="Z17" s="146"/>
      <c r="AA17" s="56"/>
      <c r="AB17" s="57">
        <v>0</v>
      </c>
      <c r="AC17" s="137">
        <f>Y17*Z17*AB17</f>
        <v>0</v>
      </c>
      <c r="AD17" s="262"/>
      <c r="AE17" s="268"/>
      <c r="AF17" s="58"/>
      <c r="AG17" s="59"/>
      <c r="AH17" s="59"/>
      <c r="AI17" s="59"/>
      <c r="AJ17" s="59"/>
      <c r="AK17" s="59"/>
    </row>
    <row r="18" spans="1:37" s="25" customFormat="1" ht="33.75" customHeight="1">
      <c r="A18" s="262"/>
      <c r="B18" s="258"/>
      <c r="C18" s="56"/>
      <c r="D18" s="279">
        <v>64</v>
      </c>
      <c r="E18" s="279">
        <v>345</v>
      </c>
      <c r="F18" s="279">
        <v>359.5</v>
      </c>
      <c r="G18" s="279" t="s">
        <v>28</v>
      </c>
      <c r="H18" s="262">
        <v>360</v>
      </c>
      <c r="I18" s="274">
        <f>F18-H18</f>
        <v>-0.5</v>
      </c>
      <c r="J18" s="281"/>
      <c r="K18" s="262"/>
      <c r="L18" s="262"/>
      <c r="M18" s="262"/>
      <c r="N18" s="262"/>
      <c r="O18" s="262"/>
      <c r="P18" s="264"/>
      <c r="Q18" s="264"/>
      <c r="R18" s="264"/>
      <c r="S18" s="264"/>
      <c r="T18" s="264"/>
      <c r="U18" s="65" t="s">
        <v>465</v>
      </c>
      <c r="V18" s="50">
        <v>25</v>
      </c>
      <c r="W18" s="50">
        <f>H18/V18</f>
        <v>14.4</v>
      </c>
      <c r="X18" s="137" t="str">
        <f>'[1]bang gia'!$C$46</f>
        <v>đồng/cây</v>
      </c>
      <c r="Y18" s="136">
        <v>20</v>
      </c>
      <c r="Z18" s="136"/>
      <c r="AA18" s="56"/>
      <c r="AB18" s="137"/>
      <c r="AC18" s="149"/>
      <c r="AD18" s="264">
        <f>SUM(AC18:AC24)</f>
        <v>72000000</v>
      </c>
      <c r="AE18" s="268"/>
      <c r="AF18" s="278" t="s">
        <v>415</v>
      </c>
      <c r="AG18" s="59"/>
      <c r="AH18" s="59"/>
      <c r="AI18" s="59"/>
      <c r="AJ18" s="59"/>
      <c r="AK18" s="59"/>
    </row>
    <row r="19" spans="1:37" s="25" customFormat="1" ht="22.5" customHeight="1">
      <c r="A19" s="262"/>
      <c r="B19" s="258"/>
      <c r="C19" s="56"/>
      <c r="D19" s="279"/>
      <c r="E19" s="279"/>
      <c r="F19" s="279"/>
      <c r="G19" s="279"/>
      <c r="H19" s="262"/>
      <c r="I19" s="275"/>
      <c r="J19" s="281"/>
      <c r="K19" s="262"/>
      <c r="L19" s="262"/>
      <c r="M19" s="262"/>
      <c r="N19" s="262"/>
      <c r="O19" s="262"/>
      <c r="P19" s="264"/>
      <c r="Q19" s="264"/>
      <c r="R19" s="264"/>
      <c r="S19" s="264"/>
      <c r="T19" s="264"/>
      <c r="U19" s="67" t="s">
        <v>421</v>
      </c>
      <c r="V19" s="50"/>
      <c r="W19" s="50"/>
      <c r="X19" s="137" t="str">
        <f>'[1]bang gia'!$C$46</f>
        <v>đồng/cây</v>
      </c>
      <c r="Y19" s="136">
        <v>14</v>
      </c>
      <c r="Z19" s="136">
        <f>'[1]bang gia'!$D$46</f>
        <v>4500000</v>
      </c>
      <c r="AA19" s="56"/>
      <c r="AB19" s="57">
        <v>1</v>
      </c>
      <c r="AC19" s="149">
        <f t="shared" ref="AC19:AC21" si="1">Y19*Z19*AB19</f>
        <v>63000000</v>
      </c>
      <c r="AD19" s="264"/>
      <c r="AE19" s="268"/>
      <c r="AF19" s="278"/>
      <c r="AG19" s="59"/>
      <c r="AH19" s="59"/>
      <c r="AI19" s="59"/>
      <c r="AJ19" s="59"/>
      <c r="AK19" s="59"/>
    </row>
    <row r="20" spans="1:37" s="25" customFormat="1" ht="22.5" customHeight="1">
      <c r="A20" s="262"/>
      <c r="B20" s="258"/>
      <c r="C20" s="56"/>
      <c r="D20" s="279"/>
      <c r="E20" s="279"/>
      <c r="F20" s="279"/>
      <c r="G20" s="279"/>
      <c r="H20" s="262"/>
      <c r="I20" s="275"/>
      <c r="J20" s="281"/>
      <c r="K20" s="262"/>
      <c r="L20" s="262"/>
      <c r="M20" s="262"/>
      <c r="N20" s="262"/>
      <c r="O20" s="262"/>
      <c r="P20" s="264"/>
      <c r="Q20" s="264"/>
      <c r="R20" s="264"/>
      <c r="S20" s="264"/>
      <c r="T20" s="264"/>
      <c r="U20" s="67" t="s">
        <v>423</v>
      </c>
      <c r="V20" s="50"/>
      <c r="W20" s="50">
        <f>W18*0.3</f>
        <v>4.32</v>
      </c>
      <c r="X20" s="137" t="str">
        <f>'[1]bang gia'!$C$46</f>
        <v>đồng/cây</v>
      </c>
      <c r="Y20" s="136">
        <v>4</v>
      </c>
      <c r="Z20" s="136">
        <f>'[1]bang gia'!$D$46</f>
        <v>4500000</v>
      </c>
      <c r="AA20" s="56"/>
      <c r="AB20" s="57">
        <v>0.5</v>
      </c>
      <c r="AC20" s="149">
        <f t="shared" si="1"/>
        <v>9000000</v>
      </c>
      <c r="AD20" s="264"/>
      <c r="AE20" s="268"/>
      <c r="AF20" s="58"/>
      <c r="AG20" s="59"/>
      <c r="AH20" s="59"/>
      <c r="AI20" s="59"/>
      <c r="AJ20" s="59"/>
      <c r="AK20" s="59"/>
    </row>
    <row r="21" spans="1:37" s="25" customFormat="1" ht="22.5" customHeight="1">
      <c r="A21" s="262"/>
      <c r="B21" s="258"/>
      <c r="C21" s="56"/>
      <c r="D21" s="279"/>
      <c r="E21" s="279"/>
      <c r="F21" s="279"/>
      <c r="G21" s="279"/>
      <c r="H21" s="262"/>
      <c r="I21" s="275"/>
      <c r="J21" s="281"/>
      <c r="K21" s="262"/>
      <c r="L21" s="262"/>
      <c r="M21" s="262"/>
      <c r="N21" s="262"/>
      <c r="O21" s="262"/>
      <c r="P21" s="264"/>
      <c r="Q21" s="264"/>
      <c r="R21" s="264"/>
      <c r="S21" s="264"/>
      <c r="T21" s="264"/>
      <c r="U21" s="67" t="s">
        <v>424</v>
      </c>
      <c r="V21" s="50"/>
      <c r="W21" s="50"/>
      <c r="X21" s="137" t="str">
        <f>'[1]bang gia'!$C$46</f>
        <v>đồng/cây</v>
      </c>
      <c r="Y21" s="136">
        <v>2</v>
      </c>
      <c r="Z21" s="136">
        <f>'[1]bang gia'!$D$46</f>
        <v>4500000</v>
      </c>
      <c r="AA21" s="56"/>
      <c r="AB21" s="57">
        <v>0</v>
      </c>
      <c r="AC21" s="149">
        <f t="shared" si="1"/>
        <v>0</v>
      </c>
      <c r="AD21" s="264"/>
      <c r="AE21" s="268"/>
      <c r="AF21" s="58"/>
      <c r="AG21" s="59"/>
      <c r="AH21" s="59"/>
      <c r="AI21" s="59"/>
      <c r="AJ21" s="59"/>
      <c r="AK21" s="59"/>
    </row>
    <row r="22" spans="1:37" s="25" customFormat="1" ht="33.75" customHeight="1">
      <c r="A22" s="262"/>
      <c r="B22" s="258"/>
      <c r="C22" s="56"/>
      <c r="D22" s="279"/>
      <c r="E22" s="279"/>
      <c r="F22" s="279"/>
      <c r="G22" s="279"/>
      <c r="H22" s="262"/>
      <c r="I22" s="275"/>
      <c r="J22" s="281"/>
      <c r="K22" s="262"/>
      <c r="L22" s="262"/>
      <c r="M22" s="262"/>
      <c r="N22" s="262"/>
      <c r="O22" s="262"/>
      <c r="P22" s="264"/>
      <c r="Q22" s="264"/>
      <c r="R22" s="264"/>
      <c r="S22" s="264"/>
      <c r="T22" s="264"/>
      <c r="U22" s="144" t="s">
        <v>601</v>
      </c>
      <c r="V22" s="146"/>
      <c r="W22" s="146"/>
      <c r="X22" s="146" t="s">
        <v>6</v>
      </c>
      <c r="Y22" s="136">
        <f>144*1</f>
        <v>144</v>
      </c>
      <c r="Z22" s="146"/>
      <c r="AA22" s="56"/>
      <c r="AB22" s="57">
        <v>0</v>
      </c>
      <c r="AC22" s="137">
        <v>0</v>
      </c>
      <c r="AD22" s="262"/>
      <c r="AE22" s="268"/>
      <c r="AF22" s="58"/>
      <c r="AG22" s="59"/>
      <c r="AH22" s="59"/>
      <c r="AI22" s="59"/>
      <c r="AJ22" s="59"/>
      <c r="AK22" s="59"/>
    </row>
    <row r="23" spans="1:37" s="25" customFormat="1" ht="27" customHeight="1">
      <c r="A23" s="262"/>
      <c r="B23" s="258"/>
      <c r="C23" s="56"/>
      <c r="D23" s="279"/>
      <c r="E23" s="279"/>
      <c r="F23" s="279"/>
      <c r="G23" s="279"/>
      <c r="H23" s="262"/>
      <c r="I23" s="275"/>
      <c r="J23" s="281"/>
      <c r="K23" s="262"/>
      <c r="L23" s="262"/>
      <c r="M23" s="262"/>
      <c r="N23" s="262"/>
      <c r="O23" s="262"/>
      <c r="P23" s="264"/>
      <c r="Q23" s="264"/>
      <c r="R23" s="264"/>
      <c r="S23" s="264"/>
      <c r="T23" s="264"/>
      <c r="U23" s="145" t="s">
        <v>602</v>
      </c>
      <c r="V23" s="146"/>
      <c r="W23" s="146"/>
      <c r="X23" s="137" t="s">
        <v>628</v>
      </c>
      <c r="Y23" s="70">
        <v>1.2</v>
      </c>
      <c r="Z23" s="137"/>
      <c r="AA23" s="56"/>
      <c r="AB23" s="57">
        <v>0</v>
      </c>
      <c r="AC23" s="137">
        <v>0</v>
      </c>
      <c r="AD23" s="262"/>
      <c r="AE23" s="268"/>
      <c r="AF23" s="58"/>
      <c r="AG23" s="59"/>
      <c r="AH23" s="59"/>
      <c r="AI23" s="59"/>
      <c r="AJ23" s="59"/>
      <c r="AK23" s="59"/>
    </row>
    <row r="24" spans="1:37" s="25" customFormat="1" ht="27" customHeight="1">
      <c r="A24" s="262"/>
      <c r="B24" s="258"/>
      <c r="C24" s="56"/>
      <c r="D24" s="279"/>
      <c r="E24" s="279"/>
      <c r="F24" s="279"/>
      <c r="G24" s="279"/>
      <c r="H24" s="262"/>
      <c r="I24" s="276"/>
      <c r="J24" s="282"/>
      <c r="K24" s="262"/>
      <c r="L24" s="262"/>
      <c r="M24" s="262"/>
      <c r="N24" s="262"/>
      <c r="O24" s="262"/>
      <c r="P24" s="264"/>
      <c r="Q24" s="264"/>
      <c r="R24" s="264"/>
      <c r="S24" s="264"/>
      <c r="T24" s="264"/>
      <c r="U24" s="145" t="s">
        <v>603</v>
      </c>
      <c r="V24" s="146"/>
      <c r="W24" s="146"/>
      <c r="X24" s="146" t="s">
        <v>399</v>
      </c>
      <c r="Y24" s="149">
        <v>1</v>
      </c>
      <c r="Z24" s="136"/>
      <c r="AA24" s="56"/>
      <c r="AB24" s="57">
        <v>0</v>
      </c>
      <c r="AC24" s="137">
        <v>0</v>
      </c>
      <c r="AD24" s="262"/>
      <c r="AE24" s="268"/>
      <c r="AF24" s="58"/>
      <c r="AG24" s="59"/>
      <c r="AH24" s="59"/>
      <c r="AI24" s="59"/>
      <c r="AJ24" s="59"/>
      <c r="AK24" s="59"/>
    </row>
    <row r="25" spans="1:37" s="25" customFormat="1" ht="35.25" customHeight="1">
      <c r="A25" s="137">
        <v>6</v>
      </c>
      <c r="B25" s="145" t="s">
        <v>590</v>
      </c>
      <c r="C25" s="56"/>
      <c r="D25" s="140">
        <v>64</v>
      </c>
      <c r="E25" s="140">
        <v>383</v>
      </c>
      <c r="F25" s="140">
        <v>253</v>
      </c>
      <c r="G25" s="140" t="s">
        <v>397</v>
      </c>
      <c r="H25" s="137">
        <v>252</v>
      </c>
      <c r="I25" s="137">
        <f>F25-H25</f>
        <v>1</v>
      </c>
      <c r="J25" s="143">
        <v>252</v>
      </c>
      <c r="K25" s="137">
        <v>648</v>
      </c>
      <c r="L25" s="137"/>
      <c r="M25" s="143">
        <f>J25/K25*100</f>
        <v>38.888888888888893</v>
      </c>
      <c r="N25" s="136">
        <f>IF(M25&lt;10,2,IF(M25&lt;20,3,IF(M25&lt;30,5,IF(M25&gt;=70,12,IF(M25&gt;=30,6)))))</f>
        <v>6</v>
      </c>
      <c r="O25" s="136">
        <v>3</v>
      </c>
      <c r="P25" s="136">
        <f>$P$6</f>
        <v>80000</v>
      </c>
      <c r="Q25" s="136">
        <f>J25*P25</f>
        <v>20160000</v>
      </c>
      <c r="R25" s="136">
        <f>Q25*3</f>
        <v>60480000</v>
      </c>
      <c r="S25" s="136">
        <f>N25*O25*17000*30</f>
        <v>9180000</v>
      </c>
      <c r="T25" s="136">
        <f>S25+R25+Q25</f>
        <v>89820000</v>
      </c>
      <c r="U25" s="145" t="s">
        <v>591</v>
      </c>
      <c r="V25" s="50"/>
      <c r="W25" s="50"/>
      <c r="X25" s="50" t="s">
        <v>0</v>
      </c>
      <c r="Y25" s="149">
        <v>252</v>
      </c>
      <c r="Z25" s="136">
        <v>97000</v>
      </c>
      <c r="AA25" s="56"/>
      <c r="AB25" s="57">
        <v>1</v>
      </c>
      <c r="AC25" s="149">
        <f>Y25*Z25*AB25</f>
        <v>24444000</v>
      </c>
      <c r="AD25" s="136">
        <f>AC25</f>
        <v>24444000</v>
      </c>
      <c r="AE25" s="138">
        <f>AD25+T25</f>
        <v>114264000</v>
      </c>
      <c r="AF25" s="58"/>
      <c r="AG25" s="59"/>
      <c r="AH25" s="59"/>
      <c r="AI25" s="59"/>
      <c r="AJ25" s="59"/>
      <c r="AK25" s="59"/>
    </row>
    <row r="26" spans="1:37" s="17" customFormat="1" ht="27" customHeight="1">
      <c r="A26" s="139"/>
      <c r="B26" s="72" t="s">
        <v>407</v>
      </c>
      <c r="C26" s="73"/>
      <c r="D26" s="74"/>
      <c r="E26" s="74"/>
      <c r="F26" s="74"/>
      <c r="G26" s="74"/>
      <c r="H26" s="139"/>
      <c r="I26" s="75"/>
      <c r="J26" s="137"/>
      <c r="K26" s="137"/>
      <c r="L26" s="139"/>
      <c r="M26" s="76"/>
      <c r="N26" s="138"/>
      <c r="O26" s="138"/>
      <c r="P26" s="138"/>
      <c r="Q26" s="138"/>
      <c r="R26" s="138"/>
      <c r="S26" s="138"/>
      <c r="T26" s="138"/>
      <c r="U26" s="36"/>
      <c r="V26" s="75"/>
      <c r="W26" s="75"/>
      <c r="X26" s="139"/>
      <c r="Y26" s="138"/>
      <c r="Z26" s="138"/>
      <c r="AA26" s="73"/>
      <c r="AB26" s="141"/>
      <c r="AC26" s="142"/>
      <c r="AD26" s="138"/>
      <c r="AE26" s="138"/>
      <c r="AF26" s="77"/>
      <c r="AG26" s="78"/>
      <c r="AH26" s="78"/>
      <c r="AI26" s="78"/>
      <c r="AJ26" s="78"/>
      <c r="AK26" s="78"/>
    </row>
    <row r="27" spans="1:37" s="19" customFormat="1" ht="37.5" customHeight="1">
      <c r="A27" s="262">
        <v>7</v>
      </c>
      <c r="B27" s="263" t="s">
        <v>466</v>
      </c>
      <c r="C27" s="137"/>
      <c r="D27" s="258">
        <v>64</v>
      </c>
      <c r="E27" s="258">
        <v>418</v>
      </c>
      <c r="F27" s="258">
        <v>1074.5999999999999</v>
      </c>
      <c r="G27" s="258" t="s">
        <v>28</v>
      </c>
      <c r="H27" s="250">
        <v>1080</v>
      </c>
      <c r="I27" s="256">
        <f>F27-H27</f>
        <v>-5.4000000000000909</v>
      </c>
      <c r="J27" s="264">
        <v>1080</v>
      </c>
      <c r="K27" s="264">
        <v>1440</v>
      </c>
      <c r="L27" s="137"/>
      <c r="M27" s="269">
        <f>J27/K27*100</f>
        <v>75</v>
      </c>
      <c r="N27" s="264">
        <v>12</v>
      </c>
      <c r="O27" s="264">
        <v>7</v>
      </c>
      <c r="P27" s="264">
        <v>80000</v>
      </c>
      <c r="Q27" s="264">
        <f>P27*J27</f>
        <v>86400000</v>
      </c>
      <c r="R27" s="264">
        <f>Q27*3</f>
        <v>259200000</v>
      </c>
      <c r="S27" s="264">
        <f>N27*O27*17000*30</f>
        <v>42840000</v>
      </c>
      <c r="T27" s="264">
        <f>SUM(Q27:S40)</f>
        <v>388440000</v>
      </c>
      <c r="U27" s="65" t="s">
        <v>457</v>
      </c>
      <c r="V27" s="150">
        <v>25</v>
      </c>
      <c r="W27" s="150">
        <f>(H27-Y29-6-1)/V27</f>
        <v>21.32</v>
      </c>
      <c r="X27" s="146" t="s">
        <v>2</v>
      </c>
      <c r="Y27" s="149">
        <v>14</v>
      </c>
      <c r="Z27" s="62"/>
      <c r="AA27" s="79"/>
      <c r="AB27" s="80"/>
      <c r="AC27" s="149"/>
      <c r="AD27" s="250">
        <f>SUM(AC27:AC40)</f>
        <v>173950000</v>
      </c>
      <c r="AE27" s="251">
        <f>T27+AD27</f>
        <v>562390000</v>
      </c>
      <c r="AF27" s="31" t="s">
        <v>428</v>
      </c>
      <c r="AG27" s="81"/>
      <c r="AH27" s="81"/>
      <c r="AI27" s="81"/>
      <c r="AJ27" s="81"/>
      <c r="AK27" s="81"/>
    </row>
    <row r="28" spans="1:37" s="19" customFormat="1" ht="21.75" customHeight="1">
      <c r="A28" s="262"/>
      <c r="B28" s="263"/>
      <c r="C28" s="137"/>
      <c r="D28" s="258"/>
      <c r="E28" s="258"/>
      <c r="F28" s="258"/>
      <c r="G28" s="258"/>
      <c r="H28" s="250"/>
      <c r="I28" s="256"/>
      <c r="J28" s="264"/>
      <c r="K28" s="264"/>
      <c r="L28" s="137"/>
      <c r="M28" s="269"/>
      <c r="N28" s="264"/>
      <c r="O28" s="264"/>
      <c r="P28" s="264"/>
      <c r="Q28" s="264"/>
      <c r="R28" s="264"/>
      <c r="S28" s="264"/>
      <c r="T28" s="264"/>
      <c r="U28" s="67" t="s">
        <v>421</v>
      </c>
      <c r="V28" s="150"/>
      <c r="W28" s="150"/>
      <c r="X28" s="146" t="s">
        <v>2</v>
      </c>
      <c r="Y28" s="149">
        <v>14</v>
      </c>
      <c r="Z28" s="62">
        <v>4500000</v>
      </c>
      <c r="AA28" s="79"/>
      <c r="AB28" s="80">
        <v>1</v>
      </c>
      <c r="AC28" s="149">
        <f>Y28*Z28*AB28</f>
        <v>63000000</v>
      </c>
      <c r="AD28" s="250"/>
      <c r="AE28" s="251"/>
      <c r="AF28" s="31"/>
      <c r="AG28" s="81"/>
      <c r="AH28" s="81"/>
      <c r="AI28" s="81"/>
      <c r="AJ28" s="81"/>
      <c r="AK28" s="81"/>
    </row>
    <row r="29" spans="1:37" s="19" customFormat="1" ht="21.75" customHeight="1">
      <c r="A29" s="262"/>
      <c r="B29" s="263"/>
      <c r="C29" s="137"/>
      <c r="D29" s="258"/>
      <c r="E29" s="258"/>
      <c r="F29" s="258"/>
      <c r="G29" s="258"/>
      <c r="H29" s="250"/>
      <c r="I29" s="256"/>
      <c r="J29" s="264"/>
      <c r="K29" s="264"/>
      <c r="L29" s="137"/>
      <c r="M29" s="269"/>
      <c r="N29" s="264"/>
      <c r="O29" s="264"/>
      <c r="P29" s="264"/>
      <c r="Q29" s="264"/>
      <c r="R29" s="264"/>
      <c r="S29" s="264"/>
      <c r="T29" s="264"/>
      <c r="U29" s="82" t="s">
        <v>467</v>
      </c>
      <c r="V29" s="150"/>
      <c r="W29" s="150"/>
      <c r="X29" s="146" t="s">
        <v>0</v>
      </c>
      <c r="Y29" s="83">
        <v>540</v>
      </c>
      <c r="Z29" s="62">
        <v>180000</v>
      </c>
      <c r="AA29" s="84"/>
      <c r="AB29" s="68">
        <v>1</v>
      </c>
      <c r="AC29" s="149">
        <f>Y29*Z29*AB29</f>
        <v>97200000</v>
      </c>
      <c r="AD29" s="250"/>
      <c r="AE29" s="251"/>
      <c r="AF29" s="31"/>
      <c r="AG29" s="81"/>
      <c r="AH29" s="81"/>
      <c r="AI29" s="81"/>
      <c r="AJ29" s="81"/>
      <c r="AK29" s="81"/>
    </row>
    <row r="30" spans="1:37" s="19" customFormat="1" ht="33.75" customHeight="1">
      <c r="A30" s="262"/>
      <c r="B30" s="263"/>
      <c r="C30" s="137"/>
      <c r="D30" s="258"/>
      <c r="E30" s="258"/>
      <c r="F30" s="258"/>
      <c r="G30" s="258"/>
      <c r="H30" s="250"/>
      <c r="I30" s="256"/>
      <c r="J30" s="264"/>
      <c r="K30" s="264"/>
      <c r="L30" s="137"/>
      <c r="M30" s="269"/>
      <c r="N30" s="264"/>
      <c r="O30" s="264"/>
      <c r="P30" s="264"/>
      <c r="Q30" s="264"/>
      <c r="R30" s="264"/>
      <c r="S30" s="264"/>
      <c r="T30" s="264"/>
      <c r="U30" s="65" t="s">
        <v>468</v>
      </c>
      <c r="V30" s="150"/>
      <c r="W30" s="150"/>
      <c r="X30" s="146" t="s">
        <v>2</v>
      </c>
      <c r="Y30" s="149">
        <v>5</v>
      </c>
      <c r="Z30" s="62"/>
      <c r="AA30" s="79"/>
      <c r="AB30" s="80"/>
      <c r="AC30" s="149">
        <f t="shared" ref="AC30:AC31" si="2">Y30*Z30*AB30</f>
        <v>0</v>
      </c>
      <c r="AD30" s="250"/>
      <c r="AE30" s="251"/>
      <c r="AF30" s="31"/>
      <c r="AG30" s="81"/>
      <c r="AH30" s="81"/>
      <c r="AI30" s="81"/>
      <c r="AJ30" s="81"/>
      <c r="AK30" s="81"/>
    </row>
    <row r="31" spans="1:37" s="19" customFormat="1" ht="21.75" customHeight="1">
      <c r="A31" s="262"/>
      <c r="B31" s="263"/>
      <c r="C31" s="137"/>
      <c r="D31" s="258"/>
      <c r="E31" s="258"/>
      <c r="F31" s="258"/>
      <c r="G31" s="258"/>
      <c r="H31" s="250"/>
      <c r="I31" s="256"/>
      <c r="J31" s="264"/>
      <c r="K31" s="264"/>
      <c r="L31" s="137"/>
      <c r="M31" s="269"/>
      <c r="N31" s="264"/>
      <c r="O31" s="264"/>
      <c r="P31" s="264"/>
      <c r="Q31" s="264"/>
      <c r="R31" s="264"/>
      <c r="S31" s="264"/>
      <c r="T31" s="264"/>
      <c r="U31" s="67" t="s">
        <v>421</v>
      </c>
      <c r="V31" s="150">
        <v>20</v>
      </c>
      <c r="W31" s="150">
        <f>(1080-Y29-6-1)/V31</f>
        <v>26.65</v>
      </c>
      <c r="X31" s="146" t="s">
        <v>2</v>
      </c>
      <c r="Y31" s="149">
        <v>5</v>
      </c>
      <c r="Z31" s="62">
        <v>2500000</v>
      </c>
      <c r="AA31" s="79"/>
      <c r="AB31" s="68">
        <v>0.5</v>
      </c>
      <c r="AC31" s="149">
        <f t="shared" si="2"/>
        <v>6250000</v>
      </c>
      <c r="AD31" s="250"/>
      <c r="AE31" s="251"/>
      <c r="AF31" s="31"/>
      <c r="AG31" s="81"/>
      <c r="AH31" s="81"/>
      <c r="AI31" s="81"/>
      <c r="AJ31" s="81"/>
      <c r="AK31" s="81"/>
    </row>
    <row r="32" spans="1:37" s="19" customFormat="1" ht="33" customHeight="1">
      <c r="A32" s="262"/>
      <c r="B32" s="263"/>
      <c r="C32" s="137"/>
      <c r="D32" s="258"/>
      <c r="E32" s="258"/>
      <c r="F32" s="258"/>
      <c r="G32" s="258"/>
      <c r="H32" s="250"/>
      <c r="I32" s="256"/>
      <c r="J32" s="264"/>
      <c r="K32" s="264"/>
      <c r="L32" s="137"/>
      <c r="M32" s="269"/>
      <c r="N32" s="264"/>
      <c r="O32" s="264"/>
      <c r="P32" s="264"/>
      <c r="Q32" s="264"/>
      <c r="R32" s="264"/>
      <c r="S32" s="264"/>
      <c r="T32" s="264"/>
      <c r="U32" s="65" t="s">
        <v>469</v>
      </c>
      <c r="V32" s="150">
        <v>25</v>
      </c>
      <c r="W32" s="150">
        <f>(1080-Y30-6-1)/V32</f>
        <v>42.72</v>
      </c>
      <c r="X32" s="146" t="s">
        <v>2</v>
      </c>
      <c r="Y32" s="149">
        <v>15</v>
      </c>
      <c r="Z32" s="62"/>
      <c r="AA32" s="79"/>
      <c r="AB32" s="80"/>
      <c r="AC32" s="149"/>
      <c r="AD32" s="250"/>
      <c r="AE32" s="251"/>
      <c r="AF32" s="31"/>
      <c r="AG32" s="81"/>
      <c r="AH32" s="81"/>
      <c r="AI32" s="81"/>
      <c r="AJ32" s="81"/>
      <c r="AK32" s="81"/>
    </row>
    <row r="33" spans="1:37" s="19" customFormat="1" ht="23.25" customHeight="1">
      <c r="A33" s="262"/>
      <c r="B33" s="263"/>
      <c r="C33" s="137"/>
      <c r="D33" s="258"/>
      <c r="E33" s="258"/>
      <c r="F33" s="258"/>
      <c r="G33" s="258"/>
      <c r="H33" s="250"/>
      <c r="I33" s="256"/>
      <c r="J33" s="264"/>
      <c r="K33" s="264"/>
      <c r="L33" s="137"/>
      <c r="M33" s="269"/>
      <c r="N33" s="264"/>
      <c r="O33" s="264"/>
      <c r="P33" s="264"/>
      <c r="Q33" s="264"/>
      <c r="R33" s="264"/>
      <c r="S33" s="264"/>
      <c r="T33" s="264"/>
      <c r="U33" s="67" t="s">
        <v>421</v>
      </c>
      <c r="V33" s="150"/>
      <c r="W33" s="150"/>
      <c r="X33" s="146" t="s">
        <v>2</v>
      </c>
      <c r="Y33" s="149">
        <v>15</v>
      </c>
      <c r="Z33" s="62">
        <v>1000000</v>
      </c>
      <c r="AA33" s="79"/>
      <c r="AB33" s="68">
        <v>0.5</v>
      </c>
      <c r="AC33" s="149">
        <f t="shared" ref="AC33:AC41" si="3">Y33*Z33*AB33</f>
        <v>7500000</v>
      </c>
      <c r="AD33" s="250"/>
      <c r="AE33" s="251"/>
      <c r="AF33" s="31"/>
      <c r="AG33" s="81"/>
      <c r="AH33" s="81"/>
      <c r="AI33" s="81"/>
      <c r="AJ33" s="81"/>
      <c r="AK33" s="81"/>
    </row>
    <row r="34" spans="1:37" s="19" customFormat="1" ht="51" customHeight="1">
      <c r="A34" s="262"/>
      <c r="B34" s="263"/>
      <c r="C34" s="137"/>
      <c r="D34" s="258"/>
      <c r="E34" s="258"/>
      <c r="F34" s="258"/>
      <c r="G34" s="258"/>
      <c r="H34" s="250"/>
      <c r="I34" s="256"/>
      <c r="J34" s="264"/>
      <c r="K34" s="264"/>
      <c r="L34" s="137"/>
      <c r="M34" s="269"/>
      <c r="N34" s="264"/>
      <c r="O34" s="264"/>
      <c r="P34" s="264"/>
      <c r="Q34" s="264"/>
      <c r="R34" s="264"/>
      <c r="S34" s="264"/>
      <c r="T34" s="264"/>
      <c r="U34" s="145" t="s">
        <v>470</v>
      </c>
      <c r="V34" s="150"/>
      <c r="W34" s="150"/>
      <c r="X34" s="146" t="s">
        <v>0</v>
      </c>
      <c r="Y34" s="149">
        <v>161</v>
      </c>
      <c r="Z34" s="62"/>
      <c r="AA34" s="79"/>
      <c r="AB34" s="80">
        <v>0</v>
      </c>
      <c r="AC34" s="149">
        <f t="shared" si="3"/>
        <v>0</v>
      </c>
      <c r="AD34" s="250"/>
      <c r="AE34" s="251"/>
      <c r="AF34" s="31"/>
      <c r="AG34" s="81"/>
      <c r="AH34" s="81"/>
      <c r="AI34" s="81"/>
      <c r="AJ34" s="81"/>
      <c r="AK34" s="81"/>
    </row>
    <row r="35" spans="1:37" s="19" customFormat="1" ht="58.5" customHeight="1">
      <c r="A35" s="262"/>
      <c r="B35" s="263"/>
      <c r="C35" s="137"/>
      <c r="D35" s="258"/>
      <c r="E35" s="258"/>
      <c r="F35" s="258"/>
      <c r="G35" s="258"/>
      <c r="H35" s="250"/>
      <c r="I35" s="256"/>
      <c r="J35" s="264"/>
      <c r="K35" s="264"/>
      <c r="L35" s="137"/>
      <c r="M35" s="269"/>
      <c r="N35" s="264"/>
      <c r="O35" s="264"/>
      <c r="P35" s="264"/>
      <c r="Q35" s="264"/>
      <c r="R35" s="264"/>
      <c r="S35" s="264"/>
      <c r="T35" s="264"/>
      <c r="U35" s="145" t="s">
        <v>471</v>
      </c>
      <c r="V35" s="150"/>
      <c r="W35" s="150"/>
      <c r="X35" s="146" t="s">
        <v>400</v>
      </c>
      <c r="Y35" s="149">
        <v>80</v>
      </c>
      <c r="Z35" s="62"/>
      <c r="AA35" s="79"/>
      <c r="AB35" s="80">
        <v>0</v>
      </c>
      <c r="AC35" s="149">
        <f t="shared" si="3"/>
        <v>0</v>
      </c>
      <c r="AD35" s="250"/>
      <c r="AE35" s="251"/>
      <c r="AF35" s="31"/>
      <c r="AG35" s="81"/>
      <c r="AH35" s="81"/>
      <c r="AI35" s="81"/>
      <c r="AJ35" s="81"/>
      <c r="AK35" s="81"/>
    </row>
    <row r="36" spans="1:37" s="19" customFormat="1" ht="53.25" customHeight="1">
      <c r="A36" s="262"/>
      <c r="B36" s="263"/>
      <c r="C36" s="137"/>
      <c r="D36" s="258"/>
      <c r="E36" s="258"/>
      <c r="F36" s="258"/>
      <c r="G36" s="258"/>
      <c r="H36" s="250"/>
      <c r="I36" s="256"/>
      <c r="J36" s="264"/>
      <c r="K36" s="264"/>
      <c r="L36" s="137"/>
      <c r="M36" s="269"/>
      <c r="N36" s="264"/>
      <c r="O36" s="264"/>
      <c r="P36" s="264"/>
      <c r="Q36" s="264"/>
      <c r="R36" s="264"/>
      <c r="S36" s="264"/>
      <c r="T36" s="264"/>
      <c r="U36" s="145" t="s">
        <v>472</v>
      </c>
      <c r="V36" s="150"/>
      <c r="W36" s="150"/>
      <c r="X36" s="146" t="s">
        <v>630</v>
      </c>
      <c r="Y36" s="149">
        <v>6</v>
      </c>
      <c r="Z36" s="62"/>
      <c r="AA36" s="79"/>
      <c r="AB36" s="80">
        <v>0</v>
      </c>
      <c r="AC36" s="149">
        <f t="shared" si="3"/>
        <v>0</v>
      </c>
      <c r="AD36" s="250"/>
      <c r="AE36" s="251"/>
      <c r="AF36" s="31"/>
      <c r="AG36" s="81"/>
      <c r="AH36" s="81"/>
      <c r="AI36" s="81"/>
      <c r="AJ36" s="81"/>
      <c r="AK36" s="81"/>
    </row>
    <row r="37" spans="1:37" s="19" customFormat="1" ht="21.75" customHeight="1">
      <c r="A37" s="262"/>
      <c r="B37" s="263"/>
      <c r="C37" s="137"/>
      <c r="D37" s="258"/>
      <c r="E37" s="258"/>
      <c r="F37" s="258"/>
      <c r="G37" s="258"/>
      <c r="H37" s="250"/>
      <c r="I37" s="256"/>
      <c r="J37" s="264"/>
      <c r="K37" s="264"/>
      <c r="L37" s="137"/>
      <c r="M37" s="269"/>
      <c r="N37" s="264"/>
      <c r="O37" s="264"/>
      <c r="P37" s="264"/>
      <c r="Q37" s="264"/>
      <c r="R37" s="264"/>
      <c r="S37" s="264"/>
      <c r="T37" s="264"/>
      <c r="U37" s="145" t="s">
        <v>473</v>
      </c>
      <c r="V37" s="150"/>
      <c r="W37" s="150"/>
      <c r="X37" s="146" t="s">
        <v>400</v>
      </c>
      <c r="Y37" s="149">
        <v>12</v>
      </c>
      <c r="Z37" s="62"/>
      <c r="AA37" s="79"/>
      <c r="AB37" s="80">
        <v>0</v>
      </c>
      <c r="AC37" s="149">
        <f t="shared" si="3"/>
        <v>0</v>
      </c>
      <c r="AD37" s="250"/>
      <c r="AE37" s="251"/>
      <c r="AF37" s="31"/>
      <c r="AG37" s="81"/>
      <c r="AH37" s="81"/>
      <c r="AI37" s="81"/>
      <c r="AJ37" s="81"/>
      <c r="AK37" s="81"/>
    </row>
    <row r="38" spans="1:37" s="19" customFormat="1" ht="30.75" customHeight="1">
      <c r="A38" s="262"/>
      <c r="B38" s="263"/>
      <c r="C38" s="137"/>
      <c r="D38" s="258"/>
      <c r="E38" s="258"/>
      <c r="F38" s="258"/>
      <c r="G38" s="258"/>
      <c r="H38" s="250"/>
      <c r="I38" s="256"/>
      <c r="J38" s="264"/>
      <c r="K38" s="264"/>
      <c r="L38" s="137"/>
      <c r="M38" s="269"/>
      <c r="N38" s="264"/>
      <c r="O38" s="264"/>
      <c r="P38" s="264"/>
      <c r="Q38" s="264"/>
      <c r="R38" s="264"/>
      <c r="S38" s="264"/>
      <c r="T38" s="264"/>
      <c r="U38" s="145" t="s">
        <v>474</v>
      </c>
      <c r="V38" s="150"/>
      <c r="W38" s="150"/>
      <c r="X38" s="146" t="s">
        <v>399</v>
      </c>
      <c r="Y38" s="149">
        <v>1</v>
      </c>
      <c r="Z38" s="62"/>
      <c r="AA38" s="79"/>
      <c r="AB38" s="80">
        <v>0</v>
      </c>
      <c r="AC38" s="149">
        <f t="shared" si="3"/>
        <v>0</v>
      </c>
      <c r="AD38" s="250"/>
      <c r="AE38" s="251"/>
      <c r="AF38" s="31"/>
      <c r="AG38" s="81"/>
      <c r="AH38" s="81"/>
      <c r="AI38" s="81"/>
      <c r="AJ38" s="81"/>
      <c r="AK38" s="81"/>
    </row>
    <row r="39" spans="1:37" s="19" customFormat="1" ht="36.75" customHeight="1">
      <c r="A39" s="262"/>
      <c r="B39" s="263"/>
      <c r="C39" s="137"/>
      <c r="D39" s="258"/>
      <c r="E39" s="258"/>
      <c r="F39" s="258"/>
      <c r="G39" s="258"/>
      <c r="H39" s="250"/>
      <c r="I39" s="256"/>
      <c r="J39" s="264"/>
      <c r="K39" s="264"/>
      <c r="L39" s="137"/>
      <c r="M39" s="269"/>
      <c r="N39" s="264"/>
      <c r="O39" s="264"/>
      <c r="P39" s="264"/>
      <c r="Q39" s="264"/>
      <c r="R39" s="264"/>
      <c r="S39" s="264"/>
      <c r="T39" s="264"/>
      <c r="U39" s="145" t="s">
        <v>475</v>
      </c>
      <c r="V39" s="150"/>
      <c r="W39" s="150"/>
      <c r="X39" s="146" t="s">
        <v>630</v>
      </c>
      <c r="Y39" s="149">
        <v>1.3</v>
      </c>
      <c r="Z39" s="62"/>
      <c r="AA39" s="79"/>
      <c r="AB39" s="80">
        <v>0</v>
      </c>
      <c r="AC39" s="149">
        <f t="shared" si="3"/>
        <v>0</v>
      </c>
      <c r="AD39" s="250"/>
      <c r="AE39" s="251"/>
      <c r="AF39" s="31"/>
      <c r="AG39" s="81"/>
      <c r="AH39" s="81"/>
      <c r="AI39" s="81"/>
      <c r="AJ39" s="81"/>
      <c r="AK39" s="81"/>
    </row>
    <row r="40" spans="1:37" s="19" customFormat="1" ht="23.25" customHeight="1">
      <c r="A40" s="262"/>
      <c r="B40" s="263"/>
      <c r="C40" s="137"/>
      <c r="D40" s="258"/>
      <c r="E40" s="258"/>
      <c r="F40" s="258"/>
      <c r="G40" s="258"/>
      <c r="H40" s="250"/>
      <c r="I40" s="256"/>
      <c r="J40" s="264"/>
      <c r="K40" s="264"/>
      <c r="L40" s="137"/>
      <c r="M40" s="269"/>
      <c r="N40" s="264"/>
      <c r="O40" s="264"/>
      <c r="P40" s="264"/>
      <c r="Q40" s="264"/>
      <c r="R40" s="264"/>
      <c r="S40" s="264"/>
      <c r="T40" s="264"/>
      <c r="U40" s="145" t="s">
        <v>476</v>
      </c>
      <c r="V40" s="110"/>
      <c r="W40" s="110"/>
      <c r="X40" s="146" t="s">
        <v>0</v>
      </c>
      <c r="Y40" s="149">
        <v>8</v>
      </c>
      <c r="Z40" s="62"/>
      <c r="AA40" s="79"/>
      <c r="AB40" s="80">
        <v>0</v>
      </c>
      <c r="AC40" s="149">
        <f t="shared" si="3"/>
        <v>0</v>
      </c>
      <c r="AD40" s="250"/>
      <c r="AE40" s="251"/>
      <c r="AF40" s="31"/>
      <c r="AG40" s="81"/>
      <c r="AH40" s="81"/>
      <c r="AI40" s="81"/>
      <c r="AJ40" s="81"/>
      <c r="AK40" s="81"/>
    </row>
    <row r="41" spans="1:37" s="19" customFormat="1" ht="24" customHeight="1">
      <c r="A41" s="262">
        <v>8</v>
      </c>
      <c r="B41" s="271" t="s">
        <v>494</v>
      </c>
      <c r="C41" s="258" t="s">
        <v>39</v>
      </c>
      <c r="D41" s="258">
        <v>64</v>
      </c>
      <c r="E41" s="258">
        <v>414</v>
      </c>
      <c r="F41" s="258">
        <v>1432.8</v>
      </c>
      <c r="G41" s="258" t="s">
        <v>28</v>
      </c>
      <c r="H41" s="250">
        <v>1440</v>
      </c>
      <c r="I41" s="256">
        <f>F41-H41</f>
        <v>-7.2000000000000455</v>
      </c>
      <c r="J41" s="250">
        <f>H41+H58</f>
        <v>1836</v>
      </c>
      <c r="K41" s="250">
        <v>3276</v>
      </c>
      <c r="L41" s="250"/>
      <c r="M41" s="256">
        <f>J41/K41*100</f>
        <v>56.043956043956044</v>
      </c>
      <c r="N41" s="250">
        <v>6</v>
      </c>
      <c r="O41" s="250">
        <v>5</v>
      </c>
      <c r="P41" s="250">
        <v>80000</v>
      </c>
      <c r="Q41" s="250">
        <f>P41*J41</f>
        <v>146880000</v>
      </c>
      <c r="R41" s="250">
        <f>Q41*3</f>
        <v>440640000</v>
      </c>
      <c r="S41" s="250">
        <f>N41*O41*17000*30</f>
        <v>15300000</v>
      </c>
      <c r="T41" s="250">
        <f>SUM(Q41:S58)</f>
        <v>602820000</v>
      </c>
      <c r="U41" s="82" t="s">
        <v>446</v>
      </c>
      <c r="V41" s="150"/>
      <c r="W41" s="150"/>
      <c r="X41" s="146" t="s">
        <v>0</v>
      </c>
      <c r="Y41" s="83">
        <v>720</v>
      </c>
      <c r="Z41" s="62">
        <v>180000</v>
      </c>
      <c r="AA41" s="84"/>
      <c r="AB41" s="68">
        <v>1</v>
      </c>
      <c r="AC41" s="149">
        <f t="shared" si="3"/>
        <v>129600000</v>
      </c>
      <c r="AD41" s="250">
        <f>SUM(AC41:AC57)</f>
        <v>257652000</v>
      </c>
      <c r="AE41" s="251">
        <f>T41+AD41+AD58</f>
        <v>931212000</v>
      </c>
      <c r="AF41" s="31" t="s">
        <v>398</v>
      </c>
      <c r="AG41" s="81"/>
      <c r="AH41" s="81"/>
      <c r="AI41" s="81"/>
      <c r="AJ41" s="81"/>
      <c r="AK41" s="81"/>
    </row>
    <row r="42" spans="1:37" s="19" customFormat="1" ht="34.5" customHeight="1">
      <c r="A42" s="262"/>
      <c r="B42" s="271"/>
      <c r="C42" s="258"/>
      <c r="D42" s="258"/>
      <c r="E42" s="258"/>
      <c r="F42" s="258"/>
      <c r="G42" s="258"/>
      <c r="H42" s="250"/>
      <c r="I42" s="256"/>
      <c r="J42" s="250"/>
      <c r="K42" s="250"/>
      <c r="L42" s="250"/>
      <c r="M42" s="256"/>
      <c r="N42" s="250"/>
      <c r="O42" s="250"/>
      <c r="P42" s="250"/>
      <c r="Q42" s="250"/>
      <c r="R42" s="250"/>
      <c r="S42" s="250"/>
      <c r="T42" s="250"/>
      <c r="U42" s="65" t="s">
        <v>495</v>
      </c>
      <c r="V42" s="150">
        <v>25</v>
      </c>
      <c r="W42" s="150">
        <f>(H41-Y41-Y49-8)/25</f>
        <v>27.52</v>
      </c>
      <c r="X42" s="146" t="s">
        <v>2</v>
      </c>
      <c r="Y42" s="149">
        <v>32</v>
      </c>
      <c r="Z42" s="62"/>
      <c r="AA42" s="79"/>
      <c r="AB42" s="80"/>
      <c r="AC42" s="149"/>
      <c r="AD42" s="250"/>
      <c r="AE42" s="251"/>
      <c r="AF42" s="31"/>
      <c r="AG42" s="81"/>
      <c r="AH42" s="81"/>
      <c r="AI42" s="81"/>
      <c r="AJ42" s="81"/>
      <c r="AK42" s="81"/>
    </row>
    <row r="43" spans="1:37" s="19" customFormat="1" ht="21.75" customHeight="1">
      <c r="A43" s="262"/>
      <c r="B43" s="271"/>
      <c r="C43" s="258"/>
      <c r="D43" s="258"/>
      <c r="E43" s="258"/>
      <c r="F43" s="258"/>
      <c r="G43" s="258"/>
      <c r="H43" s="250"/>
      <c r="I43" s="256"/>
      <c r="J43" s="250"/>
      <c r="K43" s="250"/>
      <c r="L43" s="250"/>
      <c r="M43" s="256"/>
      <c r="N43" s="250"/>
      <c r="O43" s="250"/>
      <c r="P43" s="250"/>
      <c r="Q43" s="250"/>
      <c r="R43" s="250"/>
      <c r="S43" s="250"/>
      <c r="T43" s="250"/>
      <c r="U43" s="67" t="s">
        <v>421</v>
      </c>
      <c r="V43" s="150"/>
      <c r="W43" s="150"/>
      <c r="X43" s="146" t="s">
        <v>2</v>
      </c>
      <c r="Y43" s="149">
        <v>28</v>
      </c>
      <c r="Z43" s="62">
        <v>4500000</v>
      </c>
      <c r="AA43" s="79"/>
      <c r="AB43" s="80">
        <v>1</v>
      </c>
      <c r="AC43" s="149">
        <f>Y43*Z43*AB43</f>
        <v>126000000</v>
      </c>
      <c r="AD43" s="250"/>
      <c r="AE43" s="251"/>
      <c r="AF43" s="31"/>
      <c r="AG43" s="81"/>
      <c r="AH43" s="81"/>
      <c r="AI43" s="81"/>
      <c r="AJ43" s="81"/>
      <c r="AK43" s="81"/>
    </row>
    <row r="44" spans="1:37" s="19" customFormat="1" ht="21.75" customHeight="1">
      <c r="A44" s="262"/>
      <c r="B44" s="271"/>
      <c r="C44" s="258"/>
      <c r="D44" s="258"/>
      <c r="E44" s="258"/>
      <c r="F44" s="258"/>
      <c r="G44" s="258"/>
      <c r="H44" s="250"/>
      <c r="I44" s="256"/>
      <c r="J44" s="250"/>
      <c r="K44" s="250"/>
      <c r="L44" s="250"/>
      <c r="M44" s="256"/>
      <c r="N44" s="250"/>
      <c r="O44" s="250"/>
      <c r="P44" s="250"/>
      <c r="Q44" s="250"/>
      <c r="R44" s="250"/>
      <c r="S44" s="250"/>
      <c r="T44" s="250"/>
      <c r="U44" s="67" t="s">
        <v>423</v>
      </c>
      <c r="V44" s="150"/>
      <c r="W44" s="150">
        <f>0.3*3</f>
        <v>0.89999999999999991</v>
      </c>
      <c r="X44" s="146" t="s">
        <v>2</v>
      </c>
      <c r="Y44" s="149">
        <v>1</v>
      </c>
      <c r="Z44" s="62">
        <v>1800000</v>
      </c>
      <c r="AA44" s="79"/>
      <c r="AB44" s="80">
        <v>0.3</v>
      </c>
      <c r="AC44" s="149">
        <f t="shared" ref="AC44:AC45" si="4">Y44*Z44*AB44</f>
        <v>540000</v>
      </c>
      <c r="AD44" s="250"/>
      <c r="AE44" s="251"/>
      <c r="AF44" s="31"/>
      <c r="AG44" s="81"/>
      <c r="AH44" s="81"/>
      <c r="AI44" s="81"/>
      <c r="AJ44" s="81"/>
      <c r="AK44" s="81"/>
    </row>
    <row r="45" spans="1:37" s="19" customFormat="1" ht="21.75" customHeight="1">
      <c r="A45" s="262"/>
      <c r="B45" s="271"/>
      <c r="C45" s="258"/>
      <c r="D45" s="258"/>
      <c r="E45" s="258"/>
      <c r="F45" s="258"/>
      <c r="G45" s="258"/>
      <c r="H45" s="250"/>
      <c r="I45" s="256"/>
      <c r="J45" s="250"/>
      <c r="K45" s="250"/>
      <c r="L45" s="250"/>
      <c r="M45" s="256"/>
      <c r="N45" s="250"/>
      <c r="O45" s="250"/>
      <c r="P45" s="250"/>
      <c r="Q45" s="250"/>
      <c r="R45" s="250"/>
      <c r="S45" s="250"/>
      <c r="T45" s="250"/>
      <c r="U45" s="67" t="s">
        <v>424</v>
      </c>
      <c r="V45" s="150"/>
      <c r="W45" s="150"/>
      <c r="X45" s="146" t="s">
        <v>2</v>
      </c>
      <c r="Y45" s="149">
        <v>3</v>
      </c>
      <c r="Z45" s="62">
        <v>1800000</v>
      </c>
      <c r="AA45" s="79"/>
      <c r="AB45" s="80">
        <v>0</v>
      </c>
      <c r="AC45" s="149">
        <f t="shared" si="4"/>
        <v>0</v>
      </c>
      <c r="AD45" s="250"/>
      <c r="AE45" s="251"/>
      <c r="AF45" s="31"/>
      <c r="AG45" s="81"/>
      <c r="AH45" s="81"/>
      <c r="AI45" s="81"/>
      <c r="AJ45" s="81"/>
      <c r="AK45" s="81"/>
    </row>
    <row r="46" spans="1:37" s="19" customFormat="1" ht="57" customHeight="1">
      <c r="A46" s="262"/>
      <c r="B46" s="271"/>
      <c r="C46" s="258"/>
      <c r="D46" s="258"/>
      <c r="E46" s="258"/>
      <c r="F46" s="258"/>
      <c r="G46" s="258"/>
      <c r="H46" s="250"/>
      <c r="I46" s="256"/>
      <c r="J46" s="250"/>
      <c r="K46" s="250"/>
      <c r="L46" s="250"/>
      <c r="M46" s="256"/>
      <c r="N46" s="250"/>
      <c r="O46" s="250"/>
      <c r="P46" s="250"/>
      <c r="Q46" s="250"/>
      <c r="R46" s="250"/>
      <c r="S46" s="250"/>
      <c r="T46" s="250"/>
      <c r="U46" s="145" t="s">
        <v>496</v>
      </c>
      <c r="V46" s="110">
        <v>10</v>
      </c>
      <c r="W46" s="150">
        <f>(H41-Y41-Y49-8)/10</f>
        <v>68.8</v>
      </c>
      <c r="X46" s="146" t="s">
        <v>2</v>
      </c>
      <c r="Y46" s="147">
        <v>150</v>
      </c>
      <c r="Z46" s="62"/>
      <c r="AA46" s="79"/>
      <c r="AB46" s="80"/>
      <c r="AC46" s="149"/>
      <c r="AD46" s="250"/>
      <c r="AE46" s="251"/>
      <c r="AF46" s="31"/>
      <c r="AG46" s="81"/>
      <c r="AH46" s="81"/>
      <c r="AI46" s="81"/>
      <c r="AJ46" s="81"/>
      <c r="AK46" s="81"/>
    </row>
    <row r="47" spans="1:37" s="19" customFormat="1" ht="36" customHeight="1">
      <c r="A47" s="262"/>
      <c r="B47" s="271"/>
      <c r="C47" s="258"/>
      <c r="D47" s="258"/>
      <c r="E47" s="258"/>
      <c r="F47" s="258"/>
      <c r="G47" s="258"/>
      <c r="H47" s="250"/>
      <c r="I47" s="256"/>
      <c r="J47" s="250"/>
      <c r="K47" s="250"/>
      <c r="L47" s="250"/>
      <c r="M47" s="256"/>
      <c r="N47" s="250"/>
      <c r="O47" s="250"/>
      <c r="P47" s="250"/>
      <c r="Q47" s="250"/>
      <c r="R47" s="250"/>
      <c r="S47" s="250"/>
      <c r="T47" s="250"/>
      <c r="U47" s="67" t="s">
        <v>497</v>
      </c>
      <c r="V47" s="150"/>
      <c r="W47" s="150">
        <f>0.3*W46</f>
        <v>20.639999999999997</v>
      </c>
      <c r="X47" s="146" t="s">
        <v>2</v>
      </c>
      <c r="Y47" s="83">
        <v>21</v>
      </c>
      <c r="Z47" s="62">
        <v>240000</v>
      </c>
      <c r="AA47" s="79"/>
      <c r="AB47" s="80">
        <v>0.3</v>
      </c>
      <c r="AC47" s="149">
        <f t="shared" ref="AC47" si="5">Y47*Z47*AB47</f>
        <v>1512000</v>
      </c>
      <c r="AD47" s="250"/>
      <c r="AE47" s="251"/>
      <c r="AF47" s="31"/>
      <c r="AG47" s="81"/>
      <c r="AH47" s="81"/>
      <c r="AI47" s="81"/>
      <c r="AJ47" s="81"/>
      <c r="AK47" s="81"/>
    </row>
    <row r="48" spans="1:37" s="19" customFormat="1" ht="27.75" customHeight="1">
      <c r="A48" s="262"/>
      <c r="B48" s="271"/>
      <c r="C48" s="258"/>
      <c r="D48" s="258"/>
      <c r="E48" s="258"/>
      <c r="F48" s="258"/>
      <c r="G48" s="258"/>
      <c r="H48" s="250"/>
      <c r="I48" s="256"/>
      <c r="J48" s="250"/>
      <c r="K48" s="250"/>
      <c r="L48" s="250"/>
      <c r="M48" s="256"/>
      <c r="N48" s="250"/>
      <c r="O48" s="250"/>
      <c r="P48" s="250"/>
      <c r="Q48" s="250"/>
      <c r="R48" s="250"/>
      <c r="S48" s="250"/>
      <c r="T48" s="250"/>
      <c r="U48" s="67" t="s">
        <v>486</v>
      </c>
      <c r="V48" s="150"/>
      <c r="W48" s="150"/>
      <c r="X48" s="146" t="s">
        <v>2</v>
      </c>
      <c r="Y48" s="83">
        <v>129</v>
      </c>
      <c r="Z48" s="62">
        <v>240000</v>
      </c>
      <c r="AA48" s="79"/>
      <c r="AB48" s="80">
        <v>0</v>
      </c>
      <c r="AC48" s="149">
        <f t="shared" ref="AC48" si="6">Y48*Z48*AB48/100</f>
        <v>0</v>
      </c>
      <c r="AD48" s="250"/>
      <c r="AE48" s="251"/>
      <c r="AF48" s="31"/>
      <c r="AG48" s="81"/>
      <c r="AH48" s="81"/>
      <c r="AI48" s="81"/>
      <c r="AJ48" s="81"/>
      <c r="AK48" s="81"/>
    </row>
    <row r="49" spans="1:37" s="19" customFormat="1" ht="81" customHeight="1">
      <c r="A49" s="262"/>
      <c r="B49" s="271"/>
      <c r="C49" s="258"/>
      <c r="D49" s="258"/>
      <c r="E49" s="258"/>
      <c r="F49" s="258"/>
      <c r="G49" s="258"/>
      <c r="H49" s="250"/>
      <c r="I49" s="256"/>
      <c r="J49" s="250"/>
      <c r="K49" s="250"/>
      <c r="L49" s="250"/>
      <c r="M49" s="256"/>
      <c r="N49" s="250"/>
      <c r="O49" s="250"/>
      <c r="P49" s="250"/>
      <c r="Q49" s="250"/>
      <c r="R49" s="250"/>
      <c r="S49" s="250"/>
      <c r="T49" s="250"/>
      <c r="U49" s="145" t="s">
        <v>561</v>
      </c>
      <c r="V49" s="150"/>
      <c r="W49" s="150"/>
      <c r="X49" s="146" t="s">
        <v>0</v>
      </c>
      <c r="Y49" s="147">
        <v>24</v>
      </c>
      <c r="Z49" s="62"/>
      <c r="AA49" s="79"/>
      <c r="AB49" s="80"/>
      <c r="AC49" s="149"/>
      <c r="AD49" s="250"/>
      <c r="AE49" s="251"/>
      <c r="AF49" s="31"/>
      <c r="AG49" s="81"/>
      <c r="AH49" s="81"/>
      <c r="AI49" s="81"/>
      <c r="AJ49" s="81"/>
      <c r="AK49" s="81"/>
    </row>
    <row r="50" spans="1:37" s="19" customFormat="1" ht="41.25" customHeight="1">
      <c r="A50" s="262"/>
      <c r="B50" s="271"/>
      <c r="C50" s="258"/>
      <c r="D50" s="258"/>
      <c r="E50" s="258"/>
      <c r="F50" s="258"/>
      <c r="G50" s="258"/>
      <c r="H50" s="250"/>
      <c r="I50" s="256"/>
      <c r="J50" s="250"/>
      <c r="K50" s="250"/>
      <c r="L50" s="250"/>
      <c r="M50" s="256"/>
      <c r="N50" s="250"/>
      <c r="O50" s="250"/>
      <c r="P50" s="250"/>
      <c r="Q50" s="250"/>
      <c r="R50" s="250"/>
      <c r="S50" s="250"/>
      <c r="T50" s="250"/>
      <c r="U50" s="145" t="s">
        <v>562</v>
      </c>
      <c r="V50" s="150"/>
      <c r="W50" s="150"/>
      <c r="X50" s="146" t="s">
        <v>0</v>
      </c>
      <c r="Y50" s="147">
        <v>36</v>
      </c>
      <c r="Z50" s="62"/>
      <c r="AA50" s="79"/>
      <c r="AB50" s="80"/>
      <c r="AC50" s="149"/>
      <c r="AD50" s="250"/>
      <c r="AE50" s="251"/>
      <c r="AF50" s="31"/>
      <c r="AG50" s="81"/>
      <c r="AH50" s="81"/>
      <c r="AI50" s="81"/>
      <c r="AJ50" s="81"/>
      <c r="AK50" s="81"/>
    </row>
    <row r="51" spans="1:37" s="19" customFormat="1" ht="55.5" customHeight="1">
      <c r="A51" s="262"/>
      <c r="B51" s="271"/>
      <c r="C51" s="258"/>
      <c r="D51" s="258"/>
      <c r="E51" s="258"/>
      <c r="F51" s="258"/>
      <c r="G51" s="258"/>
      <c r="H51" s="250"/>
      <c r="I51" s="256"/>
      <c r="J51" s="250"/>
      <c r="K51" s="250"/>
      <c r="L51" s="250"/>
      <c r="M51" s="256"/>
      <c r="N51" s="250"/>
      <c r="O51" s="250"/>
      <c r="P51" s="250"/>
      <c r="Q51" s="250"/>
      <c r="R51" s="250"/>
      <c r="S51" s="250"/>
      <c r="T51" s="250"/>
      <c r="U51" s="145" t="s">
        <v>483</v>
      </c>
      <c r="V51" s="150"/>
      <c r="W51" s="150"/>
      <c r="X51" s="146" t="s">
        <v>0</v>
      </c>
      <c r="Y51" s="147">
        <v>93</v>
      </c>
      <c r="Z51" s="62"/>
      <c r="AA51" s="79"/>
      <c r="AB51" s="80"/>
      <c r="AC51" s="149"/>
      <c r="AD51" s="250"/>
      <c r="AE51" s="251"/>
      <c r="AF51" s="31"/>
      <c r="AG51" s="81"/>
      <c r="AH51" s="81"/>
      <c r="AI51" s="81"/>
      <c r="AJ51" s="81"/>
      <c r="AK51" s="81"/>
    </row>
    <row r="52" spans="1:37" s="19" customFormat="1" ht="27.75" customHeight="1">
      <c r="A52" s="262"/>
      <c r="B52" s="271"/>
      <c r="C52" s="258"/>
      <c r="D52" s="258"/>
      <c r="E52" s="258"/>
      <c r="F52" s="258"/>
      <c r="G52" s="258"/>
      <c r="H52" s="250"/>
      <c r="I52" s="256"/>
      <c r="J52" s="250"/>
      <c r="K52" s="250"/>
      <c r="L52" s="250"/>
      <c r="M52" s="256"/>
      <c r="N52" s="250"/>
      <c r="O52" s="250"/>
      <c r="P52" s="250"/>
      <c r="Q52" s="250"/>
      <c r="R52" s="250"/>
      <c r="S52" s="250"/>
      <c r="T52" s="250"/>
      <c r="U52" s="145" t="s">
        <v>563</v>
      </c>
      <c r="V52" s="150"/>
      <c r="W52" s="150"/>
      <c r="X52" s="146" t="s">
        <v>0</v>
      </c>
      <c r="Y52" s="147">
        <v>277</v>
      </c>
      <c r="Z52" s="62"/>
      <c r="AA52" s="79"/>
      <c r="AB52" s="80"/>
      <c r="AC52" s="149"/>
      <c r="AD52" s="250"/>
      <c r="AE52" s="251"/>
      <c r="AF52" s="31"/>
      <c r="AG52" s="81"/>
      <c r="AH52" s="81"/>
      <c r="AI52" s="81"/>
      <c r="AJ52" s="81"/>
      <c r="AK52" s="81"/>
    </row>
    <row r="53" spans="1:37" s="19" customFormat="1" ht="51" customHeight="1">
      <c r="A53" s="262"/>
      <c r="B53" s="271"/>
      <c r="C53" s="258"/>
      <c r="D53" s="258"/>
      <c r="E53" s="258"/>
      <c r="F53" s="258"/>
      <c r="G53" s="258"/>
      <c r="H53" s="250"/>
      <c r="I53" s="256"/>
      <c r="J53" s="250"/>
      <c r="K53" s="250"/>
      <c r="L53" s="250"/>
      <c r="M53" s="256"/>
      <c r="N53" s="250"/>
      <c r="O53" s="250"/>
      <c r="P53" s="250"/>
      <c r="Q53" s="250"/>
      <c r="R53" s="250"/>
      <c r="S53" s="250"/>
      <c r="T53" s="250"/>
      <c r="U53" s="145" t="s">
        <v>564</v>
      </c>
      <c r="V53" s="150"/>
      <c r="W53" s="150"/>
      <c r="X53" s="146" t="s">
        <v>400</v>
      </c>
      <c r="Y53" s="147">
        <v>7</v>
      </c>
      <c r="Z53" s="62"/>
      <c r="AA53" s="79"/>
      <c r="AB53" s="80"/>
      <c r="AC53" s="149"/>
      <c r="AD53" s="250"/>
      <c r="AE53" s="251"/>
      <c r="AF53" s="31"/>
      <c r="AG53" s="81"/>
      <c r="AH53" s="81"/>
      <c r="AI53" s="81"/>
      <c r="AJ53" s="81"/>
      <c r="AK53" s="81"/>
    </row>
    <row r="54" spans="1:37" s="19" customFormat="1" ht="60.75" customHeight="1">
      <c r="A54" s="262"/>
      <c r="B54" s="271"/>
      <c r="C54" s="258"/>
      <c r="D54" s="258"/>
      <c r="E54" s="258"/>
      <c r="F54" s="258"/>
      <c r="G54" s="258"/>
      <c r="H54" s="250"/>
      <c r="I54" s="256"/>
      <c r="J54" s="250"/>
      <c r="K54" s="250"/>
      <c r="L54" s="250"/>
      <c r="M54" s="256"/>
      <c r="N54" s="250"/>
      <c r="O54" s="250"/>
      <c r="P54" s="250"/>
      <c r="Q54" s="250"/>
      <c r="R54" s="250"/>
      <c r="S54" s="250"/>
      <c r="T54" s="250"/>
      <c r="U54" s="145" t="s">
        <v>565</v>
      </c>
      <c r="V54" s="150"/>
      <c r="W54" s="150"/>
      <c r="X54" s="146" t="s">
        <v>630</v>
      </c>
      <c r="Y54" s="147">
        <v>12</v>
      </c>
      <c r="Z54" s="62"/>
      <c r="AA54" s="79"/>
      <c r="AB54" s="80"/>
      <c r="AC54" s="149"/>
      <c r="AD54" s="250"/>
      <c r="AE54" s="251"/>
      <c r="AF54" s="31"/>
      <c r="AG54" s="81"/>
      <c r="AH54" s="81"/>
      <c r="AI54" s="81"/>
      <c r="AJ54" s="81"/>
      <c r="AK54" s="81"/>
    </row>
    <row r="55" spans="1:37" s="19" customFormat="1" ht="27.75" customHeight="1">
      <c r="A55" s="262"/>
      <c r="B55" s="271"/>
      <c r="C55" s="258"/>
      <c r="D55" s="258"/>
      <c r="E55" s="258"/>
      <c r="F55" s="258"/>
      <c r="G55" s="258"/>
      <c r="H55" s="250"/>
      <c r="I55" s="256"/>
      <c r="J55" s="250"/>
      <c r="K55" s="250"/>
      <c r="L55" s="250"/>
      <c r="M55" s="256"/>
      <c r="N55" s="250"/>
      <c r="O55" s="250"/>
      <c r="P55" s="250"/>
      <c r="Q55" s="250"/>
      <c r="R55" s="250"/>
      <c r="S55" s="250"/>
      <c r="T55" s="250"/>
      <c r="U55" s="145" t="s">
        <v>436</v>
      </c>
      <c r="V55" s="150"/>
      <c r="W55" s="150"/>
      <c r="X55" s="146" t="s">
        <v>3</v>
      </c>
      <c r="Y55" s="147">
        <v>2</v>
      </c>
      <c r="Z55" s="62"/>
      <c r="AA55" s="79"/>
      <c r="AB55" s="80"/>
      <c r="AC55" s="149"/>
      <c r="AD55" s="250"/>
      <c r="AE55" s="251"/>
      <c r="AF55" s="31"/>
      <c r="AG55" s="81"/>
      <c r="AH55" s="81"/>
      <c r="AI55" s="81"/>
      <c r="AJ55" s="81"/>
      <c r="AK55" s="81"/>
    </row>
    <row r="56" spans="1:37" s="19" customFormat="1" ht="39.75" customHeight="1">
      <c r="A56" s="262"/>
      <c r="B56" s="271"/>
      <c r="C56" s="258"/>
      <c r="D56" s="258"/>
      <c r="E56" s="258"/>
      <c r="F56" s="258"/>
      <c r="G56" s="258"/>
      <c r="H56" s="250"/>
      <c r="I56" s="256"/>
      <c r="J56" s="250"/>
      <c r="K56" s="250"/>
      <c r="L56" s="250"/>
      <c r="M56" s="256"/>
      <c r="N56" s="250"/>
      <c r="O56" s="250"/>
      <c r="P56" s="250"/>
      <c r="Q56" s="250"/>
      <c r="R56" s="250"/>
      <c r="S56" s="250"/>
      <c r="T56" s="250"/>
      <c r="U56" s="145" t="s">
        <v>566</v>
      </c>
      <c r="V56" s="150"/>
      <c r="W56" s="150"/>
      <c r="X56" s="146" t="s">
        <v>630</v>
      </c>
      <c r="Y56" s="147">
        <v>2.5</v>
      </c>
      <c r="Z56" s="62"/>
      <c r="AA56" s="79"/>
      <c r="AB56" s="80"/>
      <c r="AC56" s="149"/>
      <c r="AD56" s="250"/>
      <c r="AE56" s="251"/>
      <c r="AF56" s="31"/>
      <c r="AG56" s="81"/>
      <c r="AH56" s="81"/>
      <c r="AI56" s="81"/>
      <c r="AJ56" s="81"/>
      <c r="AK56" s="81"/>
    </row>
    <row r="57" spans="1:37" s="19" customFormat="1" ht="50.25" customHeight="1">
      <c r="A57" s="262"/>
      <c r="B57" s="271"/>
      <c r="C57" s="258"/>
      <c r="D57" s="258"/>
      <c r="E57" s="258"/>
      <c r="F57" s="258"/>
      <c r="G57" s="258"/>
      <c r="H57" s="250"/>
      <c r="I57" s="256"/>
      <c r="J57" s="250"/>
      <c r="K57" s="250"/>
      <c r="L57" s="250"/>
      <c r="M57" s="256"/>
      <c r="N57" s="250"/>
      <c r="O57" s="250"/>
      <c r="P57" s="250"/>
      <c r="Q57" s="250"/>
      <c r="R57" s="250"/>
      <c r="S57" s="250"/>
      <c r="T57" s="250"/>
      <c r="U57" s="145" t="s">
        <v>567</v>
      </c>
      <c r="V57" s="150"/>
      <c r="W57" s="150"/>
      <c r="X57" s="146" t="s">
        <v>0</v>
      </c>
      <c r="Y57" s="147">
        <v>12</v>
      </c>
      <c r="Z57" s="136"/>
      <c r="AA57" s="79"/>
      <c r="AB57" s="80"/>
      <c r="AC57" s="149">
        <f t="shared" ref="AC57:AC58" si="7">Y57*Z57*AB57</f>
        <v>0</v>
      </c>
      <c r="AD57" s="250"/>
      <c r="AE57" s="251"/>
      <c r="AF57" s="31"/>
      <c r="AG57" s="81"/>
      <c r="AH57" s="81"/>
      <c r="AI57" s="81"/>
      <c r="AJ57" s="81"/>
      <c r="AK57" s="81"/>
    </row>
    <row r="58" spans="1:37" s="19" customFormat="1" ht="27" customHeight="1">
      <c r="A58" s="262"/>
      <c r="B58" s="271"/>
      <c r="C58" s="137"/>
      <c r="D58" s="137">
        <v>64</v>
      </c>
      <c r="E58" s="137">
        <v>415</v>
      </c>
      <c r="F58" s="137">
        <v>393.6</v>
      </c>
      <c r="G58" s="137" t="s">
        <v>28</v>
      </c>
      <c r="H58" s="136">
        <v>396</v>
      </c>
      <c r="I58" s="148">
        <f>F58-H58</f>
        <v>-2.3999999999999773</v>
      </c>
      <c r="J58" s="250"/>
      <c r="K58" s="250"/>
      <c r="L58" s="250"/>
      <c r="M58" s="256"/>
      <c r="N58" s="250"/>
      <c r="O58" s="250"/>
      <c r="P58" s="250"/>
      <c r="Q58" s="250"/>
      <c r="R58" s="250"/>
      <c r="S58" s="250"/>
      <c r="T58" s="250"/>
      <c r="U58" s="82" t="s">
        <v>446</v>
      </c>
      <c r="V58" s="150"/>
      <c r="W58" s="150"/>
      <c r="X58" s="146" t="s">
        <v>0</v>
      </c>
      <c r="Y58" s="83">
        <v>393</v>
      </c>
      <c r="Z58" s="62">
        <v>180000</v>
      </c>
      <c r="AA58" s="84"/>
      <c r="AB58" s="68">
        <v>1</v>
      </c>
      <c r="AC58" s="149">
        <f t="shared" si="7"/>
        <v>70740000</v>
      </c>
      <c r="AD58" s="149">
        <f>SUM(AC58:AC58)</f>
        <v>70740000</v>
      </c>
      <c r="AE58" s="251"/>
      <c r="AF58" s="31"/>
      <c r="AG58" s="81"/>
      <c r="AH58" s="81"/>
      <c r="AI58" s="81"/>
      <c r="AJ58" s="81"/>
      <c r="AK58" s="81"/>
    </row>
    <row r="59" spans="1:37" s="19" customFormat="1" ht="21.75" customHeight="1">
      <c r="A59" s="262">
        <v>9</v>
      </c>
      <c r="B59" s="263" t="s">
        <v>502</v>
      </c>
      <c r="C59" s="137"/>
      <c r="D59" s="258">
        <v>64</v>
      </c>
      <c r="E59" s="258">
        <v>428</v>
      </c>
      <c r="F59" s="258">
        <v>211.8</v>
      </c>
      <c r="G59" s="258" t="s">
        <v>28</v>
      </c>
      <c r="H59" s="250">
        <v>216</v>
      </c>
      <c r="I59" s="256">
        <f>F59-H59</f>
        <v>-4.1999999999999886</v>
      </c>
      <c r="J59" s="264">
        <v>216</v>
      </c>
      <c r="K59" s="264">
        <v>720</v>
      </c>
      <c r="L59" s="137"/>
      <c r="M59" s="277">
        <f>J59/K59*100</f>
        <v>30</v>
      </c>
      <c r="N59" s="264">
        <v>6</v>
      </c>
      <c r="O59" s="264">
        <v>4</v>
      </c>
      <c r="P59" s="264">
        <v>80000</v>
      </c>
      <c r="Q59" s="264">
        <f>P59*J59</f>
        <v>17280000</v>
      </c>
      <c r="R59" s="264">
        <f>Q59*3</f>
        <v>51840000</v>
      </c>
      <c r="S59" s="264">
        <f>N59*O59*17000*30</f>
        <v>12240000</v>
      </c>
      <c r="T59" s="264">
        <f>SUM(Q59:S63)</f>
        <v>81360000</v>
      </c>
      <c r="U59" s="82" t="s">
        <v>446</v>
      </c>
      <c r="V59" s="150"/>
      <c r="W59" s="150"/>
      <c r="X59" s="146" t="s">
        <v>0</v>
      </c>
      <c r="Y59" s="83">
        <v>200</v>
      </c>
      <c r="Z59" s="62">
        <v>180000</v>
      </c>
      <c r="AA59" s="84"/>
      <c r="AB59" s="68">
        <v>1</v>
      </c>
      <c r="AC59" s="149">
        <f>Y59*Z59*AB59</f>
        <v>36000000</v>
      </c>
      <c r="AD59" s="250">
        <f>SUM(AC59:AC63)</f>
        <v>37000000</v>
      </c>
      <c r="AE59" s="251">
        <f>T59+AD59</f>
        <v>118360000</v>
      </c>
      <c r="AF59" s="31"/>
      <c r="AG59" s="81"/>
      <c r="AH59" s="81"/>
      <c r="AI59" s="81"/>
      <c r="AJ59" s="81"/>
      <c r="AK59" s="81"/>
    </row>
    <row r="60" spans="1:37" s="19" customFormat="1" ht="37.5" customHeight="1">
      <c r="A60" s="262"/>
      <c r="B60" s="263"/>
      <c r="C60" s="137"/>
      <c r="D60" s="258"/>
      <c r="E60" s="258"/>
      <c r="F60" s="258"/>
      <c r="G60" s="258"/>
      <c r="H60" s="250"/>
      <c r="I60" s="256"/>
      <c r="J60" s="264"/>
      <c r="K60" s="264"/>
      <c r="L60" s="137"/>
      <c r="M60" s="277"/>
      <c r="N60" s="264"/>
      <c r="O60" s="264"/>
      <c r="P60" s="264"/>
      <c r="Q60" s="264"/>
      <c r="R60" s="264"/>
      <c r="S60" s="264"/>
      <c r="T60" s="264"/>
      <c r="U60" s="145" t="s">
        <v>498</v>
      </c>
      <c r="V60" s="150">
        <v>25</v>
      </c>
      <c r="W60" s="150">
        <f>(H59-Y59)/25</f>
        <v>0.64</v>
      </c>
      <c r="X60" s="146" t="s">
        <v>2</v>
      </c>
      <c r="Y60" s="147">
        <v>2</v>
      </c>
      <c r="Z60" s="136"/>
      <c r="AA60" s="79"/>
      <c r="AB60" s="80"/>
      <c r="AC60" s="149"/>
      <c r="AD60" s="250"/>
      <c r="AE60" s="251"/>
      <c r="AF60" s="31"/>
      <c r="AG60" s="81"/>
      <c r="AH60" s="81"/>
      <c r="AI60" s="81"/>
      <c r="AJ60" s="81"/>
      <c r="AK60" s="81"/>
    </row>
    <row r="61" spans="1:37" s="19" customFormat="1" ht="21.75" customHeight="1">
      <c r="A61" s="262"/>
      <c r="B61" s="263"/>
      <c r="C61" s="137"/>
      <c r="D61" s="258"/>
      <c r="E61" s="258"/>
      <c r="F61" s="258"/>
      <c r="G61" s="258"/>
      <c r="H61" s="250"/>
      <c r="I61" s="256"/>
      <c r="J61" s="264"/>
      <c r="K61" s="264"/>
      <c r="L61" s="137"/>
      <c r="M61" s="277"/>
      <c r="N61" s="264"/>
      <c r="O61" s="264"/>
      <c r="P61" s="264"/>
      <c r="Q61" s="264"/>
      <c r="R61" s="264"/>
      <c r="S61" s="264"/>
      <c r="T61" s="264"/>
      <c r="U61" s="67" t="s">
        <v>421</v>
      </c>
      <c r="V61" s="150"/>
      <c r="W61" s="150"/>
      <c r="X61" s="146" t="s">
        <v>2</v>
      </c>
      <c r="Y61" s="149">
        <v>1</v>
      </c>
      <c r="Z61" s="62">
        <v>1000000</v>
      </c>
      <c r="AA61" s="86"/>
      <c r="AB61" s="68">
        <v>1</v>
      </c>
      <c r="AC61" s="149">
        <f t="shared" ref="AC61:AC62" si="8">Y61*Z61*AB61</f>
        <v>1000000</v>
      </c>
      <c r="AD61" s="250"/>
      <c r="AE61" s="251"/>
      <c r="AF61" s="31"/>
      <c r="AG61" s="81"/>
      <c r="AH61" s="81"/>
      <c r="AI61" s="81"/>
      <c r="AJ61" s="81"/>
      <c r="AK61" s="81"/>
    </row>
    <row r="62" spans="1:37" s="19" customFormat="1" ht="21.75" customHeight="1">
      <c r="A62" s="262"/>
      <c r="B62" s="263"/>
      <c r="C62" s="137"/>
      <c r="D62" s="258"/>
      <c r="E62" s="258"/>
      <c r="F62" s="258"/>
      <c r="G62" s="258"/>
      <c r="H62" s="250"/>
      <c r="I62" s="256"/>
      <c r="J62" s="264"/>
      <c r="K62" s="264"/>
      <c r="L62" s="137"/>
      <c r="M62" s="277"/>
      <c r="N62" s="264"/>
      <c r="O62" s="264"/>
      <c r="P62" s="264"/>
      <c r="Q62" s="264"/>
      <c r="R62" s="264"/>
      <c r="S62" s="264"/>
      <c r="T62" s="264"/>
      <c r="U62" s="67" t="s">
        <v>424</v>
      </c>
      <c r="V62" s="150"/>
      <c r="W62" s="150">
        <f>0.3*W60</f>
        <v>0.192</v>
      </c>
      <c r="X62" s="146" t="s">
        <v>2</v>
      </c>
      <c r="Y62" s="149">
        <v>1</v>
      </c>
      <c r="Z62" s="62">
        <v>1000000</v>
      </c>
      <c r="AA62" s="79"/>
      <c r="AB62" s="68">
        <v>0</v>
      </c>
      <c r="AC62" s="149">
        <f t="shared" si="8"/>
        <v>0</v>
      </c>
      <c r="AD62" s="250"/>
      <c r="AE62" s="251"/>
      <c r="AF62" s="31"/>
      <c r="AG62" s="81"/>
      <c r="AH62" s="81"/>
      <c r="AI62" s="81"/>
      <c r="AJ62" s="81"/>
      <c r="AK62" s="81"/>
    </row>
    <row r="63" spans="1:37" s="19" customFormat="1" ht="43.5" customHeight="1">
      <c r="A63" s="262"/>
      <c r="B63" s="263"/>
      <c r="C63" s="137"/>
      <c r="D63" s="258"/>
      <c r="E63" s="258"/>
      <c r="F63" s="258"/>
      <c r="G63" s="258"/>
      <c r="H63" s="250"/>
      <c r="I63" s="256"/>
      <c r="J63" s="264"/>
      <c r="K63" s="264"/>
      <c r="L63" s="137"/>
      <c r="M63" s="277"/>
      <c r="N63" s="264"/>
      <c r="O63" s="264"/>
      <c r="P63" s="264"/>
      <c r="Q63" s="264"/>
      <c r="R63" s="264"/>
      <c r="S63" s="264"/>
      <c r="T63" s="264"/>
      <c r="U63" s="145" t="s">
        <v>499</v>
      </c>
      <c r="V63" s="150"/>
      <c r="W63" s="150"/>
      <c r="X63" s="146" t="s">
        <v>630</v>
      </c>
      <c r="Y63" s="147">
        <v>0.2</v>
      </c>
      <c r="Z63" s="62"/>
      <c r="AA63" s="86"/>
      <c r="AB63" s="68">
        <v>0</v>
      </c>
      <c r="AC63" s="149"/>
      <c r="AD63" s="250"/>
      <c r="AE63" s="251"/>
      <c r="AF63" s="31"/>
      <c r="AG63" s="81"/>
      <c r="AH63" s="81"/>
      <c r="AI63" s="81"/>
      <c r="AJ63" s="81"/>
      <c r="AK63" s="81"/>
    </row>
    <row r="64" spans="1:37" s="27" customFormat="1" ht="39.75" customHeight="1">
      <c r="A64" s="274">
        <v>10</v>
      </c>
      <c r="B64" s="271" t="s">
        <v>409</v>
      </c>
      <c r="C64" s="271" t="s">
        <v>409</v>
      </c>
      <c r="D64" s="258">
        <v>64</v>
      </c>
      <c r="E64" s="258">
        <v>472</v>
      </c>
      <c r="F64" s="258">
        <v>941.9</v>
      </c>
      <c r="G64" s="258" t="s">
        <v>28</v>
      </c>
      <c r="H64" s="250">
        <v>936</v>
      </c>
      <c r="I64" s="256">
        <f>F64-H64</f>
        <v>5.8999999999999773</v>
      </c>
      <c r="J64" s="251">
        <v>936</v>
      </c>
      <c r="K64" s="251">
        <v>1296</v>
      </c>
      <c r="L64" s="250">
        <v>936</v>
      </c>
      <c r="M64" s="272">
        <f>J64/K64*100</f>
        <v>72.222222222222214</v>
      </c>
      <c r="N64" s="250">
        <v>12</v>
      </c>
      <c r="O64" s="250">
        <v>8</v>
      </c>
      <c r="P64" s="250">
        <v>80000</v>
      </c>
      <c r="Q64" s="250">
        <f>P64*J64</f>
        <v>74880000</v>
      </c>
      <c r="R64" s="250">
        <f>Q64*3</f>
        <v>224640000</v>
      </c>
      <c r="S64" s="250">
        <f>N64*O64*17000*30</f>
        <v>48960000</v>
      </c>
      <c r="T64" s="250">
        <f>SUM(Q64:S68)</f>
        <v>348480000</v>
      </c>
      <c r="U64" s="82" t="s">
        <v>457</v>
      </c>
      <c r="V64" s="50">
        <v>25</v>
      </c>
      <c r="W64" s="50">
        <f>J64/V64</f>
        <v>37.44</v>
      </c>
      <c r="X64" s="146" t="s">
        <v>2</v>
      </c>
      <c r="Y64" s="149">
        <v>35</v>
      </c>
      <c r="Z64" s="62"/>
      <c r="AA64" s="84"/>
      <c r="AB64" s="68"/>
      <c r="AC64" s="149">
        <f>Y64*Z64*AB64</f>
        <v>0</v>
      </c>
      <c r="AD64" s="250">
        <f>SUM(AC64:AC68)</f>
        <v>176250000</v>
      </c>
      <c r="AE64" s="251">
        <f>T64+AD64</f>
        <v>524730000</v>
      </c>
      <c r="AF64" s="87">
        <f>Y64*25</f>
        <v>875</v>
      </c>
      <c r="AG64" s="88" t="s">
        <v>395</v>
      </c>
      <c r="AH64" s="88"/>
      <c r="AI64" s="252" t="s">
        <v>657</v>
      </c>
      <c r="AJ64" s="259" t="s">
        <v>681</v>
      </c>
      <c r="AK64" s="89"/>
    </row>
    <row r="65" spans="1:37" s="27" customFormat="1" ht="23.25" customHeight="1">
      <c r="A65" s="275"/>
      <c r="B65" s="271"/>
      <c r="C65" s="271"/>
      <c r="D65" s="258"/>
      <c r="E65" s="258"/>
      <c r="F65" s="258"/>
      <c r="G65" s="258"/>
      <c r="H65" s="250"/>
      <c r="I65" s="256"/>
      <c r="J65" s="251"/>
      <c r="K65" s="251"/>
      <c r="L65" s="250"/>
      <c r="M65" s="272"/>
      <c r="N65" s="250"/>
      <c r="O65" s="250"/>
      <c r="P65" s="250"/>
      <c r="Q65" s="250"/>
      <c r="R65" s="250"/>
      <c r="S65" s="250"/>
      <c r="T65" s="250"/>
      <c r="U65" s="67" t="s">
        <v>421</v>
      </c>
      <c r="V65" s="50"/>
      <c r="W65" s="50"/>
      <c r="X65" s="146" t="s">
        <v>2</v>
      </c>
      <c r="Y65" s="149">
        <v>35</v>
      </c>
      <c r="Z65" s="62">
        <v>4500000</v>
      </c>
      <c r="AA65" s="84"/>
      <c r="AB65" s="68">
        <v>1</v>
      </c>
      <c r="AC65" s="149">
        <f>Y65*Z65*AB65</f>
        <v>157500000</v>
      </c>
      <c r="AD65" s="250"/>
      <c r="AE65" s="251"/>
      <c r="AF65" s="87"/>
      <c r="AG65" s="88"/>
      <c r="AH65" s="88"/>
      <c r="AI65" s="252"/>
      <c r="AJ65" s="260"/>
      <c r="AK65" s="89"/>
    </row>
    <row r="66" spans="1:37" s="27" customFormat="1" ht="42.75" customHeight="1">
      <c r="A66" s="275"/>
      <c r="B66" s="271"/>
      <c r="C66" s="271"/>
      <c r="D66" s="258"/>
      <c r="E66" s="258"/>
      <c r="F66" s="258"/>
      <c r="G66" s="258"/>
      <c r="H66" s="250"/>
      <c r="I66" s="256"/>
      <c r="J66" s="251"/>
      <c r="K66" s="251"/>
      <c r="L66" s="250"/>
      <c r="M66" s="272"/>
      <c r="N66" s="250"/>
      <c r="O66" s="250"/>
      <c r="P66" s="250"/>
      <c r="Q66" s="250"/>
      <c r="R66" s="250"/>
      <c r="S66" s="250"/>
      <c r="T66" s="250"/>
      <c r="U66" s="82" t="s">
        <v>460</v>
      </c>
      <c r="V66" s="50">
        <v>20</v>
      </c>
      <c r="W66" s="50">
        <f>J64/V66</f>
        <v>46.8</v>
      </c>
      <c r="X66" s="146" t="s">
        <v>2</v>
      </c>
      <c r="Y66" s="149">
        <v>15</v>
      </c>
      <c r="Z66" s="62"/>
      <c r="AA66" s="84"/>
      <c r="AB66" s="68"/>
      <c r="AC66" s="149">
        <f>Y66*Z66*AB66</f>
        <v>0</v>
      </c>
      <c r="AD66" s="250"/>
      <c r="AE66" s="251"/>
      <c r="AF66" s="87"/>
      <c r="AG66" s="88"/>
      <c r="AH66" s="88"/>
      <c r="AI66" s="252"/>
      <c r="AJ66" s="260"/>
      <c r="AK66" s="89"/>
    </row>
    <row r="67" spans="1:37" s="27" customFormat="1" ht="27.75" customHeight="1">
      <c r="A67" s="275"/>
      <c r="B67" s="271"/>
      <c r="C67" s="271"/>
      <c r="D67" s="258"/>
      <c r="E67" s="258"/>
      <c r="F67" s="258"/>
      <c r="G67" s="258"/>
      <c r="H67" s="250"/>
      <c r="I67" s="256"/>
      <c r="J67" s="251"/>
      <c r="K67" s="251"/>
      <c r="L67" s="250"/>
      <c r="M67" s="272"/>
      <c r="N67" s="250"/>
      <c r="O67" s="250"/>
      <c r="P67" s="250"/>
      <c r="Q67" s="250"/>
      <c r="R67" s="250"/>
      <c r="S67" s="250"/>
      <c r="T67" s="250"/>
      <c r="U67" s="67" t="s">
        <v>421</v>
      </c>
      <c r="V67" s="50"/>
      <c r="W67" s="50"/>
      <c r="X67" s="146" t="s">
        <v>2</v>
      </c>
      <c r="Y67" s="149">
        <v>15</v>
      </c>
      <c r="Z67" s="62">
        <v>2500000</v>
      </c>
      <c r="AA67" s="84"/>
      <c r="AB67" s="68">
        <v>0.5</v>
      </c>
      <c r="AC67" s="149">
        <f>Y67*Z67*AB67</f>
        <v>18750000</v>
      </c>
      <c r="AD67" s="250"/>
      <c r="AE67" s="251"/>
      <c r="AF67" s="87"/>
      <c r="AG67" s="88"/>
      <c r="AH67" s="88"/>
      <c r="AI67" s="252"/>
      <c r="AJ67" s="260"/>
      <c r="AK67" s="89"/>
    </row>
    <row r="68" spans="1:37" s="27" customFormat="1" ht="27.75" customHeight="1">
      <c r="A68" s="276"/>
      <c r="B68" s="271"/>
      <c r="C68" s="271"/>
      <c r="D68" s="258"/>
      <c r="E68" s="258"/>
      <c r="F68" s="258"/>
      <c r="G68" s="258"/>
      <c r="H68" s="250"/>
      <c r="I68" s="256"/>
      <c r="J68" s="251"/>
      <c r="K68" s="251"/>
      <c r="L68" s="250"/>
      <c r="M68" s="272"/>
      <c r="N68" s="250"/>
      <c r="O68" s="250"/>
      <c r="P68" s="250"/>
      <c r="Q68" s="250"/>
      <c r="R68" s="250"/>
      <c r="S68" s="250"/>
      <c r="T68" s="250"/>
      <c r="U68" s="145" t="s">
        <v>419</v>
      </c>
      <c r="V68" s="146"/>
      <c r="W68" s="146"/>
      <c r="X68" s="146" t="s">
        <v>399</v>
      </c>
      <c r="Y68" s="149">
        <v>1</v>
      </c>
      <c r="Z68" s="62"/>
      <c r="AA68" s="84"/>
      <c r="AB68" s="146">
        <v>0</v>
      </c>
      <c r="AC68" s="149">
        <f t="shared" ref="AC68" si="9">Y68*Z68*AB68/100</f>
        <v>0</v>
      </c>
      <c r="AD68" s="250"/>
      <c r="AE68" s="251"/>
      <c r="AF68" s="87"/>
      <c r="AG68" s="88"/>
      <c r="AH68" s="88"/>
      <c r="AI68" s="252"/>
      <c r="AJ68" s="261"/>
      <c r="AK68" s="89"/>
    </row>
    <row r="69" spans="1:37" s="27" customFormat="1" ht="42.75" customHeight="1">
      <c r="A69" s="262">
        <v>11</v>
      </c>
      <c r="B69" s="271" t="s">
        <v>412</v>
      </c>
      <c r="C69" s="271" t="s">
        <v>412</v>
      </c>
      <c r="D69" s="258">
        <v>3</v>
      </c>
      <c r="E69" s="258">
        <v>443</v>
      </c>
      <c r="F69" s="258">
        <v>465.5</v>
      </c>
      <c r="G69" s="258" t="s">
        <v>28</v>
      </c>
      <c r="H69" s="250">
        <v>450</v>
      </c>
      <c r="I69" s="256">
        <f>F69-H69</f>
        <v>15.5</v>
      </c>
      <c r="J69" s="251">
        <v>450</v>
      </c>
      <c r="K69" s="251">
        <v>2520</v>
      </c>
      <c r="L69" s="250">
        <v>450</v>
      </c>
      <c r="M69" s="272">
        <f>J69/K69*100</f>
        <v>17.857142857142858</v>
      </c>
      <c r="N69" s="250">
        <v>3</v>
      </c>
      <c r="O69" s="250">
        <v>5</v>
      </c>
      <c r="P69" s="250">
        <v>80000</v>
      </c>
      <c r="Q69" s="250">
        <f>P69*J69</f>
        <v>36000000</v>
      </c>
      <c r="R69" s="250">
        <f>Q69*3</f>
        <v>108000000</v>
      </c>
      <c r="S69" s="250">
        <f>N69*O69*17000*30</f>
        <v>7650000</v>
      </c>
      <c r="T69" s="250">
        <f>SUM(Q69:S75)</f>
        <v>151650000</v>
      </c>
      <c r="U69" s="145" t="s">
        <v>622</v>
      </c>
      <c r="V69" s="146">
        <v>25</v>
      </c>
      <c r="W69" s="146">
        <f>J69/V69</f>
        <v>18</v>
      </c>
      <c r="X69" s="146" t="s">
        <v>2</v>
      </c>
      <c r="Y69" s="149">
        <v>7</v>
      </c>
      <c r="Z69" s="62"/>
      <c r="AA69" s="84"/>
      <c r="AB69" s="68"/>
      <c r="AC69" s="149">
        <f>Y69*Z69*AB69</f>
        <v>0</v>
      </c>
      <c r="AD69" s="250">
        <f>SUM(AC69:AC75)</f>
        <v>79625000</v>
      </c>
      <c r="AE69" s="251">
        <f>T69+AD69</f>
        <v>231275000</v>
      </c>
      <c r="AF69" s="90">
        <f>Y69*25</f>
        <v>175</v>
      </c>
      <c r="AG69" s="88" t="s">
        <v>658</v>
      </c>
      <c r="AH69" s="88"/>
      <c r="AI69" s="252" t="s">
        <v>659</v>
      </c>
      <c r="AJ69" s="259" t="s">
        <v>681</v>
      </c>
      <c r="AK69" s="89"/>
    </row>
    <row r="70" spans="1:37" s="27" customFormat="1" ht="23.25" customHeight="1">
      <c r="A70" s="262"/>
      <c r="B70" s="271"/>
      <c r="C70" s="271"/>
      <c r="D70" s="258"/>
      <c r="E70" s="258"/>
      <c r="F70" s="258"/>
      <c r="G70" s="258"/>
      <c r="H70" s="250"/>
      <c r="I70" s="256"/>
      <c r="J70" s="251"/>
      <c r="K70" s="251"/>
      <c r="L70" s="250"/>
      <c r="M70" s="272"/>
      <c r="N70" s="250"/>
      <c r="O70" s="250"/>
      <c r="P70" s="250"/>
      <c r="Q70" s="250"/>
      <c r="R70" s="250"/>
      <c r="S70" s="250"/>
      <c r="T70" s="250"/>
      <c r="U70" s="67" t="s">
        <v>421</v>
      </c>
      <c r="V70" s="146"/>
      <c r="W70" s="146"/>
      <c r="X70" s="146" t="s">
        <v>2</v>
      </c>
      <c r="Y70" s="149">
        <v>7</v>
      </c>
      <c r="Z70" s="62">
        <v>4500000</v>
      </c>
      <c r="AA70" s="84"/>
      <c r="AB70" s="68">
        <v>1</v>
      </c>
      <c r="AC70" s="149">
        <f>Y70*Z70*AB70</f>
        <v>31500000</v>
      </c>
      <c r="AD70" s="250"/>
      <c r="AE70" s="251"/>
      <c r="AF70" s="90"/>
      <c r="AG70" s="88"/>
      <c r="AH70" s="88"/>
      <c r="AI70" s="252"/>
      <c r="AJ70" s="260"/>
      <c r="AK70" s="89"/>
    </row>
    <row r="71" spans="1:37" s="27" customFormat="1" ht="51" customHeight="1">
      <c r="A71" s="262"/>
      <c r="B71" s="271"/>
      <c r="C71" s="271"/>
      <c r="D71" s="258"/>
      <c r="E71" s="258"/>
      <c r="F71" s="258"/>
      <c r="G71" s="258"/>
      <c r="H71" s="250"/>
      <c r="I71" s="256"/>
      <c r="J71" s="251"/>
      <c r="K71" s="251"/>
      <c r="L71" s="250"/>
      <c r="M71" s="272"/>
      <c r="N71" s="250"/>
      <c r="O71" s="250"/>
      <c r="P71" s="250"/>
      <c r="Q71" s="250"/>
      <c r="R71" s="250"/>
      <c r="S71" s="250"/>
      <c r="T71" s="250"/>
      <c r="U71" s="82" t="s">
        <v>660</v>
      </c>
      <c r="V71" s="50"/>
      <c r="W71" s="50"/>
      <c r="X71" s="146" t="s">
        <v>2</v>
      </c>
      <c r="Y71" s="149">
        <v>14</v>
      </c>
      <c r="Z71" s="62"/>
      <c r="AA71" s="84"/>
      <c r="AB71" s="68"/>
      <c r="AC71" s="149">
        <f>Y71*Z71*AB71</f>
        <v>0</v>
      </c>
      <c r="AD71" s="250"/>
      <c r="AE71" s="251"/>
      <c r="AF71" s="90">
        <f>Y71*25</f>
        <v>350</v>
      </c>
      <c r="AG71" s="88"/>
      <c r="AH71" s="88"/>
      <c r="AI71" s="252"/>
      <c r="AJ71" s="260"/>
      <c r="AK71" s="89"/>
    </row>
    <row r="72" spans="1:37" s="27" customFormat="1" ht="23.25" customHeight="1">
      <c r="A72" s="262"/>
      <c r="B72" s="271"/>
      <c r="C72" s="271"/>
      <c r="D72" s="258"/>
      <c r="E72" s="258"/>
      <c r="F72" s="258"/>
      <c r="G72" s="258"/>
      <c r="H72" s="250"/>
      <c r="I72" s="256"/>
      <c r="J72" s="251"/>
      <c r="K72" s="251"/>
      <c r="L72" s="250"/>
      <c r="M72" s="272"/>
      <c r="N72" s="250"/>
      <c r="O72" s="250"/>
      <c r="P72" s="250"/>
      <c r="Q72" s="250"/>
      <c r="R72" s="250"/>
      <c r="S72" s="250"/>
      <c r="T72" s="250"/>
      <c r="U72" s="67" t="s">
        <v>421</v>
      </c>
      <c r="V72" s="50"/>
      <c r="W72" s="50"/>
      <c r="X72" s="146" t="s">
        <v>2</v>
      </c>
      <c r="Y72" s="149">
        <f>18-Y70</f>
        <v>11</v>
      </c>
      <c r="Z72" s="62">
        <v>3850000</v>
      </c>
      <c r="AA72" s="84"/>
      <c r="AB72" s="68">
        <v>1</v>
      </c>
      <c r="AC72" s="149">
        <f>Y72*Z72*AB72</f>
        <v>42350000</v>
      </c>
      <c r="AD72" s="250"/>
      <c r="AE72" s="251"/>
      <c r="AF72" s="90"/>
      <c r="AG72" s="88"/>
      <c r="AH72" s="88"/>
      <c r="AI72" s="252"/>
      <c r="AJ72" s="260"/>
      <c r="AK72" s="89"/>
    </row>
    <row r="73" spans="1:37" s="27" customFormat="1" ht="23.25" customHeight="1">
      <c r="A73" s="262"/>
      <c r="B73" s="271"/>
      <c r="C73" s="271"/>
      <c r="D73" s="258"/>
      <c r="E73" s="258"/>
      <c r="F73" s="258"/>
      <c r="G73" s="258"/>
      <c r="H73" s="250"/>
      <c r="I73" s="256"/>
      <c r="J73" s="251"/>
      <c r="K73" s="251"/>
      <c r="L73" s="250"/>
      <c r="M73" s="272"/>
      <c r="N73" s="250"/>
      <c r="O73" s="250"/>
      <c r="P73" s="250"/>
      <c r="Q73" s="250"/>
      <c r="R73" s="250"/>
      <c r="S73" s="250"/>
      <c r="T73" s="250"/>
      <c r="U73" s="67" t="s">
        <v>423</v>
      </c>
      <c r="V73" s="50"/>
      <c r="W73" s="50"/>
      <c r="X73" s="146" t="s">
        <v>2</v>
      </c>
      <c r="Y73" s="149">
        <v>3</v>
      </c>
      <c r="Z73" s="62">
        <v>3850000</v>
      </c>
      <c r="AA73" s="84"/>
      <c r="AB73" s="68">
        <v>0.5</v>
      </c>
      <c r="AC73" s="149">
        <f>Y73*Z73*AB73</f>
        <v>5775000</v>
      </c>
      <c r="AD73" s="250"/>
      <c r="AE73" s="251"/>
      <c r="AF73" s="90"/>
      <c r="AG73" s="88"/>
      <c r="AH73" s="88"/>
      <c r="AI73" s="252"/>
      <c r="AJ73" s="260"/>
      <c r="AK73" s="89"/>
    </row>
    <row r="74" spans="1:37" s="27" customFormat="1" ht="42" customHeight="1">
      <c r="A74" s="262"/>
      <c r="B74" s="271"/>
      <c r="C74" s="271"/>
      <c r="D74" s="258"/>
      <c r="E74" s="258"/>
      <c r="F74" s="258"/>
      <c r="G74" s="258"/>
      <c r="H74" s="250"/>
      <c r="I74" s="256"/>
      <c r="J74" s="251"/>
      <c r="K74" s="251"/>
      <c r="L74" s="250"/>
      <c r="M74" s="272"/>
      <c r="N74" s="250"/>
      <c r="O74" s="250"/>
      <c r="P74" s="250"/>
      <c r="Q74" s="250"/>
      <c r="R74" s="250"/>
      <c r="S74" s="250"/>
      <c r="T74" s="250"/>
      <c r="U74" s="145" t="s">
        <v>661</v>
      </c>
      <c r="V74" s="146"/>
      <c r="W74" s="146"/>
      <c r="X74" s="146" t="s">
        <v>6</v>
      </c>
      <c r="Y74" s="147">
        <v>6</v>
      </c>
      <c r="Z74" s="100"/>
      <c r="AA74" s="84"/>
      <c r="AB74" s="146">
        <v>0</v>
      </c>
      <c r="AC74" s="149">
        <f t="shared" ref="AC74:AC75" si="10">Y74*Z74*AB74/100</f>
        <v>0</v>
      </c>
      <c r="AD74" s="250"/>
      <c r="AE74" s="251"/>
      <c r="AF74" s="90"/>
      <c r="AG74" s="88"/>
      <c r="AH74" s="88"/>
      <c r="AI74" s="252"/>
      <c r="AJ74" s="260"/>
      <c r="AK74" s="89"/>
    </row>
    <row r="75" spans="1:37" s="27" customFormat="1" ht="57.75" customHeight="1">
      <c r="A75" s="262"/>
      <c r="B75" s="271"/>
      <c r="C75" s="271"/>
      <c r="D75" s="258"/>
      <c r="E75" s="258"/>
      <c r="F75" s="258"/>
      <c r="G75" s="258"/>
      <c r="H75" s="250"/>
      <c r="I75" s="256"/>
      <c r="J75" s="251"/>
      <c r="K75" s="251"/>
      <c r="L75" s="250"/>
      <c r="M75" s="272"/>
      <c r="N75" s="250"/>
      <c r="O75" s="250"/>
      <c r="P75" s="250"/>
      <c r="Q75" s="250"/>
      <c r="R75" s="250"/>
      <c r="S75" s="250"/>
      <c r="T75" s="250"/>
      <c r="U75" s="145" t="s">
        <v>506</v>
      </c>
      <c r="V75" s="146"/>
      <c r="W75" s="146"/>
      <c r="X75" s="146" t="s">
        <v>6</v>
      </c>
      <c r="Y75" s="147">
        <v>188</v>
      </c>
      <c r="Z75" s="100"/>
      <c r="AA75" s="84"/>
      <c r="AB75" s="146">
        <v>0</v>
      </c>
      <c r="AC75" s="149">
        <f t="shared" si="10"/>
        <v>0</v>
      </c>
      <c r="AD75" s="250"/>
      <c r="AE75" s="251"/>
      <c r="AF75" s="91"/>
      <c r="AG75" s="88"/>
      <c r="AH75" s="88"/>
      <c r="AI75" s="252"/>
      <c r="AJ75" s="261"/>
      <c r="AK75" s="89"/>
    </row>
    <row r="76" spans="1:37" s="18" customFormat="1" ht="24.75" customHeight="1">
      <c r="A76" s="139"/>
      <c r="B76" s="34" t="s">
        <v>616</v>
      </c>
      <c r="C76" s="141"/>
      <c r="D76" s="141"/>
      <c r="E76" s="141"/>
      <c r="F76" s="141"/>
      <c r="G76" s="141"/>
      <c r="H76" s="142"/>
      <c r="I76" s="151"/>
      <c r="J76" s="149"/>
      <c r="K76" s="149"/>
      <c r="L76" s="141"/>
      <c r="M76" s="93"/>
      <c r="N76" s="142"/>
      <c r="O76" s="142"/>
      <c r="P76" s="142"/>
      <c r="Q76" s="142"/>
      <c r="R76" s="142"/>
      <c r="S76" s="142"/>
      <c r="T76" s="142"/>
      <c r="U76" s="36"/>
      <c r="V76" s="33"/>
      <c r="W76" s="33"/>
      <c r="X76" s="141"/>
      <c r="Y76" s="142"/>
      <c r="Z76" s="94"/>
      <c r="AA76" s="95"/>
      <c r="AB76" s="96"/>
      <c r="AC76" s="142"/>
      <c r="AD76" s="142"/>
      <c r="AE76" s="142"/>
      <c r="AF76" s="31"/>
      <c r="AG76" s="97"/>
      <c r="AH76" s="97"/>
      <c r="AI76" s="97"/>
      <c r="AJ76" s="97"/>
      <c r="AK76" s="97"/>
    </row>
    <row r="77" spans="1:37" s="26" customFormat="1" ht="32.25" customHeight="1">
      <c r="A77" s="262">
        <v>12</v>
      </c>
      <c r="B77" s="271" t="s">
        <v>402</v>
      </c>
      <c r="C77" s="271" t="s">
        <v>412</v>
      </c>
      <c r="D77" s="258">
        <v>64</v>
      </c>
      <c r="E77" s="258">
        <v>603</v>
      </c>
      <c r="F77" s="258">
        <v>1688.8</v>
      </c>
      <c r="G77" s="258" t="s">
        <v>28</v>
      </c>
      <c r="H77" s="250">
        <v>1800</v>
      </c>
      <c r="I77" s="256">
        <f>F77-H77</f>
        <v>-111.20000000000005</v>
      </c>
      <c r="J77" s="250">
        <v>1800</v>
      </c>
      <c r="K77" s="250">
        <v>1800</v>
      </c>
      <c r="L77" s="250"/>
      <c r="M77" s="272">
        <f>J77/K77*100</f>
        <v>100</v>
      </c>
      <c r="N77" s="250">
        <v>12</v>
      </c>
      <c r="O77" s="250">
        <v>9</v>
      </c>
      <c r="P77" s="250">
        <v>80000</v>
      </c>
      <c r="Q77" s="250">
        <f>P77*J77</f>
        <v>144000000</v>
      </c>
      <c r="R77" s="250">
        <f>Q77*3</f>
        <v>432000000</v>
      </c>
      <c r="S77" s="250">
        <f>N77*O77*17000*30</f>
        <v>55080000</v>
      </c>
      <c r="T77" s="250">
        <f>SUM(Q77:S85)</f>
        <v>631080000</v>
      </c>
      <c r="U77" s="65" t="s">
        <v>641</v>
      </c>
      <c r="V77" s="150">
        <v>25</v>
      </c>
      <c r="W77" s="150">
        <f>H77/25</f>
        <v>72</v>
      </c>
      <c r="X77" s="146" t="s">
        <v>2</v>
      </c>
      <c r="Y77" s="149">
        <v>9</v>
      </c>
      <c r="Z77" s="62"/>
      <c r="AA77" s="84"/>
      <c r="AB77" s="68"/>
      <c r="AC77" s="149"/>
      <c r="AD77" s="250">
        <f>SUM(AC77:AC85)</f>
        <v>142650000</v>
      </c>
      <c r="AE77" s="251">
        <f>T77+AD77</f>
        <v>773730000</v>
      </c>
      <c r="AF77" s="31" t="s">
        <v>452</v>
      </c>
      <c r="AG77" s="98"/>
      <c r="AH77" s="99"/>
      <c r="AI77" s="99"/>
      <c r="AJ77" s="99"/>
      <c r="AK77" s="99"/>
    </row>
    <row r="78" spans="1:37" s="26" customFormat="1" ht="23.25" customHeight="1">
      <c r="A78" s="262"/>
      <c r="B78" s="271"/>
      <c r="C78" s="271"/>
      <c r="D78" s="258"/>
      <c r="E78" s="258"/>
      <c r="F78" s="258"/>
      <c r="G78" s="258"/>
      <c r="H78" s="250"/>
      <c r="I78" s="256"/>
      <c r="J78" s="250"/>
      <c r="K78" s="250"/>
      <c r="L78" s="250"/>
      <c r="M78" s="272"/>
      <c r="N78" s="250"/>
      <c r="O78" s="250"/>
      <c r="P78" s="250"/>
      <c r="Q78" s="250"/>
      <c r="R78" s="250"/>
      <c r="S78" s="250"/>
      <c r="T78" s="250"/>
      <c r="U78" s="67" t="s">
        <v>421</v>
      </c>
      <c r="V78" s="150"/>
      <c r="W78" s="150"/>
      <c r="X78" s="146" t="s">
        <v>2</v>
      </c>
      <c r="Y78" s="149">
        <v>9</v>
      </c>
      <c r="Z78" s="62">
        <v>3750000</v>
      </c>
      <c r="AA78" s="84"/>
      <c r="AB78" s="68">
        <v>1</v>
      </c>
      <c r="AC78" s="149">
        <f>Y78*Z78*AB78</f>
        <v>33750000</v>
      </c>
      <c r="AD78" s="250"/>
      <c r="AE78" s="251"/>
      <c r="AF78" s="31"/>
      <c r="AG78" s="98"/>
      <c r="AH78" s="99"/>
      <c r="AI78" s="99"/>
      <c r="AJ78" s="99"/>
      <c r="AK78" s="99"/>
    </row>
    <row r="79" spans="1:37" s="26" customFormat="1" ht="39" customHeight="1">
      <c r="A79" s="262"/>
      <c r="B79" s="271"/>
      <c r="C79" s="271"/>
      <c r="D79" s="258"/>
      <c r="E79" s="258"/>
      <c r="F79" s="258"/>
      <c r="G79" s="258"/>
      <c r="H79" s="250"/>
      <c r="I79" s="256"/>
      <c r="J79" s="250"/>
      <c r="K79" s="250"/>
      <c r="L79" s="250"/>
      <c r="M79" s="272"/>
      <c r="N79" s="250"/>
      <c r="O79" s="250"/>
      <c r="P79" s="250"/>
      <c r="Q79" s="250"/>
      <c r="R79" s="250"/>
      <c r="S79" s="250"/>
      <c r="T79" s="250"/>
      <c r="U79" s="65" t="s">
        <v>642</v>
      </c>
      <c r="V79" s="150"/>
      <c r="W79" s="150"/>
      <c r="X79" s="146" t="s">
        <v>2</v>
      </c>
      <c r="Y79" s="149">
        <v>27</v>
      </c>
      <c r="Z79" s="62"/>
      <c r="AA79" s="84"/>
      <c r="AB79" s="68"/>
      <c r="AC79" s="149"/>
      <c r="AD79" s="250"/>
      <c r="AE79" s="251"/>
      <c r="AF79" s="31"/>
      <c r="AG79" s="98"/>
      <c r="AH79" s="99"/>
      <c r="AI79" s="99"/>
      <c r="AJ79" s="99"/>
      <c r="AK79" s="99"/>
    </row>
    <row r="80" spans="1:37" s="26" customFormat="1" ht="23.25" customHeight="1">
      <c r="A80" s="262"/>
      <c r="B80" s="271"/>
      <c r="C80" s="271"/>
      <c r="D80" s="258"/>
      <c r="E80" s="258"/>
      <c r="F80" s="258"/>
      <c r="G80" s="258"/>
      <c r="H80" s="250"/>
      <c r="I80" s="256"/>
      <c r="J80" s="250"/>
      <c r="K80" s="250"/>
      <c r="L80" s="250"/>
      <c r="M80" s="272"/>
      <c r="N80" s="250"/>
      <c r="O80" s="250"/>
      <c r="P80" s="250"/>
      <c r="Q80" s="250"/>
      <c r="R80" s="250"/>
      <c r="S80" s="250"/>
      <c r="T80" s="250"/>
      <c r="U80" s="67" t="s">
        <v>421</v>
      </c>
      <c r="V80" s="150"/>
      <c r="W80" s="150"/>
      <c r="X80" s="146" t="s">
        <v>2</v>
      </c>
      <c r="Y80" s="149">
        <v>27</v>
      </c>
      <c r="Z80" s="62">
        <v>2700000</v>
      </c>
      <c r="AA80" s="84"/>
      <c r="AB80" s="68">
        <v>1</v>
      </c>
      <c r="AC80" s="149">
        <f>Y80*Z80*AB80</f>
        <v>72900000</v>
      </c>
      <c r="AD80" s="250"/>
      <c r="AE80" s="251"/>
      <c r="AF80" s="31"/>
      <c r="AG80" s="98"/>
      <c r="AH80" s="99"/>
      <c r="AI80" s="99"/>
      <c r="AJ80" s="99"/>
      <c r="AK80" s="99"/>
    </row>
    <row r="81" spans="1:37" s="26" customFormat="1" ht="36" customHeight="1">
      <c r="A81" s="262"/>
      <c r="B81" s="271"/>
      <c r="C81" s="271"/>
      <c r="D81" s="258"/>
      <c r="E81" s="258"/>
      <c r="F81" s="258"/>
      <c r="G81" s="258"/>
      <c r="H81" s="250"/>
      <c r="I81" s="256"/>
      <c r="J81" s="250"/>
      <c r="K81" s="250"/>
      <c r="L81" s="250"/>
      <c r="M81" s="272"/>
      <c r="N81" s="250"/>
      <c r="O81" s="250"/>
      <c r="P81" s="250"/>
      <c r="Q81" s="250"/>
      <c r="R81" s="250"/>
      <c r="S81" s="250"/>
      <c r="T81" s="250"/>
      <c r="U81" s="65" t="s">
        <v>480</v>
      </c>
      <c r="V81" s="150">
        <v>4</v>
      </c>
      <c r="W81" s="150">
        <f>H77/4</f>
        <v>450</v>
      </c>
      <c r="X81" s="146" t="s">
        <v>396</v>
      </c>
      <c r="Y81" s="149">
        <v>300</v>
      </c>
      <c r="Z81" s="62"/>
      <c r="AA81" s="84"/>
      <c r="AB81" s="68"/>
      <c r="AC81" s="149"/>
      <c r="AD81" s="250"/>
      <c r="AE81" s="251"/>
      <c r="AF81" s="31"/>
      <c r="AG81" s="98"/>
      <c r="AH81" s="99"/>
      <c r="AI81" s="99"/>
      <c r="AJ81" s="99"/>
      <c r="AK81" s="99"/>
    </row>
    <row r="82" spans="1:37" s="26" customFormat="1" ht="25.5" customHeight="1">
      <c r="A82" s="262"/>
      <c r="B82" s="271"/>
      <c r="C82" s="271"/>
      <c r="D82" s="258"/>
      <c r="E82" s="258"/>
      <c r="F82" s="258"/>
      <c r="G82" s="258"/>
      <c r="H82" s="250"/>
      <c r="I82" s="256"/>
      <c r="J82" s="250"/>
      <c r="K82" s="250"/>
      <c r="L82" s="250"/>
      <c r="M82" s="272"/>
      <c r="N82" s="250"/>
      <c r="O82" s="250"/>
      <c r="P82" s="250"/>
      <c r="Q82" s="250"/>
      <c r="R82" s="250"/>
      <c r="S82" s="250"/>
      <c r="T82" s="250"/>
      <c r="U82" s="67" t="s">
        <v>421</v>
      </c>
      <c r="V82" s="150"/>
      <c r="W82" s="150"/>
      <c r="X82" s="146" t="s">
        <v>2</v>
      </c>
      <c r="Y82" s="149">
        <v>300</v>
      </c>
      <c r="Z82" s="62">
        <v>200000</v>
      </c>
      <c r="AA82" s="84"/>
      <c r="AB82" s="68">
        <v>0.5</v>
      </c>
      <c r="AC82" s="149">
        <f>Y82*Z82*AB82</f>
        <v>30000000</v>
      </c>
      <c r="AD82" s="250"/>
      <c r="AE82" s="251"/>
      <c r="AF82" s="31"/>
      <c r="AG82" s="98"/>
      <c r="AH82" s="99"/>
      <c r="AI82" s="99"/>
      <c r="AJ82" s="99"/>
      <c r="AK82" s="99"/>
    </row>
    <row r="83" spans="1:37" s="26" customFormat="1" ht="36.75" customHeight="1">
      <c r="A83" s="262"/>
      <c r="B83" s="271"/>
      <c r="C83" s="271"/>
      <c r="D83" s="258"/>
      <c r="E83" s="258"/>
      <c r="F83" s="258"/>
      <c r="G83" s="258"/>
      <c r="H83" s="250"/>
      <c r="I83" s="256"/>
      <c r="J83" s="250"/>
      <c r="K83" s="250"/>
      <c r="L83" s="250"/>
      <c r="M83" s="272"/>
      <c r="N83" s="250"/>
      <c r="O83" s="250"/>
      <c r="P83" s="250"/>
      <c r="Q83" s="250"/>
      <c r="R83" s="250"/>
      <c r="S83" s="250"/>
      <c r="T83" s="250"/>
      <c r="U83" s="65" t="s">
        <v>481</v>
      </c>
      <c r="V83" s="150"/>
      <c r="W83" s="150"/>
      <c r="X83" s="146" t="s">
        <v>396</v>
      </c>
      <c r="Y83" s="149">
        <v>80</v>
      </c>
      <c r="Z83" s="62"/>
      <c r="AA83" s="84"/>
      <c r="AB83" s="68"/>
      <c r="AC83" s="149"/>
      <c r="AD83" s="250"/>
      <c r="AE83" s="251"/>
      <c r="AF83" s="31"/>
      <c r="AG83" s="98"/>
      <c r="AH83" s="99"/>
      <c r="AI83" s="99"/>
      <c r="AJ83" s="99"/>
      <c r="AK83" s="99"/>
    </row>
    <row r="84" spans="1:37" s="26" customFormat="1" ht="23.25" customHeight="1">
      <c r="A84" s="262"/>
      <c r="B84" s="271"/>
      <c r="C84" s="271"/>
      <c r="D84" s="258"/>
      <c r="E84" s="258"/>
      <c r="F84" s="258"/>
      <c r="G84" s="258"/>
      <c r="H84" s="250"/>
      <c r="I84" s="256"/>
      <c r="J84" s="250"/>
      <c r="K84" s="250"/>
      <c r="L84" s="250"/>
      <c r="M84" s="272"/>
      <c r="N84" s="250"/>
      <c r="O84" s="250"/>
      <c r="P84" s="250"/>
      <c r="Q84" s="250"/>
      <c r="R84" s="250"/>
      <c r="S84" s="250"/>
      <c r="T84" s="250"/>
      <c r="U84" s="67" t="s">
        <v>421</v>
      </c>
      <c r="V84" s="150"/>
      <c r="W84" s="150"/>
      <c r="X84" s="146" t="s">
        <v>2</v>
      </c>
      <c r="Y84" s="149">
        <v>80</v>
      </c>
      <c r="Z84" s="62">
        <v>150000</v>
      </c>
      <c r="AA84" s="84"/>
      <c r="AB84" s="68">
        <v>0.5</v>
      </c>
      <c r="AC84" s="149">
        <f>Y84*Z84*AB84</f>
        <v>6000000</v>
      </c>
      <c r="AD84" s="250"/>
      <c r="AE84" s="251"/>
      <c r="AF84" s="31"/>
      <c r="AG84" s="98"/>
      <c r="AH84" s="99"/>
      <c r="AI84" s="99"/>
      <c r="AJ84" s="99"/>
      <c r="AK84" s="99"/>
    </row>
    <row r="85" spans="1:37" s="26" customFormat="1" ht="57.75" customHeight="1">
      <c r="A85" s="262"/>
      <c r="B85" s="271"/>
      <c r="C85" s="271"/>
      <c r="D85" s="258"/>
      <c r="E85" s="258"/>
      <c r="F85" s="258"/>
      <c r="G85" s="258"/>
      <c r="H85" s="250"/>
      <c r="I85" s="256"/>
      <c r="J85" s="250"/>
      <c r="K85" s="250"/>
      <c r="L85" s="250"/>
      <c r="M85" s="272"/>
      <c r="N85" s="250"/>
      <c r="O85" s="250"/>
      <c r="P85" s="250"/>
      <c r="Q85" s="250"/>
      <c r="R85" s="250"/>
      <c r="S85" s="250"/>
      <c r="T85" s="250"/>
      <c r="U85" s="144" t="s">
        <v>470</v>
      </c>
      <c r="V85" s="150"/>
      <c r="W85" s="150"/>
      <c r="X85" s="146" t="s">
        <v>0</v>
      </c>
      <c r="Y85" s="147">
        <v>6</v>
      </c>
      <c r="Z85" s="100"/>
      <c r="AA85" s="84"/>
      <c r="AB85" s="146"/>
      <c r="AC85" s="149"/>
      <c r="AD85" s="250"/>
      <c r="AE85" s="251"/>
      <c r="AF85" s="31"/>
      <c r="AG85" s="98"/>
      <c r="AH85" s="99"/>
      <c r="AI85" s="99"/>
      <c r="AJ85" s="99"/>
      <c r="AK85" s="99"/>
    </row>
    <row r="86" spans="1:37" s="19" customFormat="1" ht="38.25" customHeight="1">
      <c r="A86" s="262">
        <v>13</v>
      </c>
      <c r="B86" s="271" t="s">
        <v>403</v>
      </c>
      <c r="C86" s="258" t="s">
        <v>39</v>
      </c>
      <c r="D86" s="258">
        <v>64</v>
      </c>
      <c r="E86" s="258">
        <v>489</v>
      </c>
      <c r="F86" s="258">
        <v>1528.1</v>
      </c>
      <c r="G86" s="258" t="s">
        <v>28</v>
      </c>
      <c r="H86" s="250">
        <v>1528</v>
      </c>
      <c r="I86" s="256">
        <f>F86-H86</f>
        <v>9.9999999999909051E-2</v>
      </c>
      <c r="J86" s="250">
        <f>H86+H97</f>
        <v>1888</v>
      </c>
      <c r="K86" s="250">
        <v>2160</v>
      </c>
      <c r="L86" s="250"/>
      <c r="M86" s="256">
        <f>J86/K86*100</f>
        <v>87.407407407407405</v>
      </c>
      <c r="N86" s="250">
        <v>12</v>
      </c>
      <c r="O86" s="250">
        <v>10</v>
      </c>
      <c r="P86" s="250">
        <v>80000</v>
      </c>
      <c r="Q86" s="250">
        <f>P86*J86</f>
        <v>151040000</v>
      </c>
      <c r="R86" s="250">
        <f>Q86*3</f>
        <v>453120000</v>
      </c>
      <c r="S86" s="250">
        <f>N86*O86*17000*30</f>
        <v>61200000</v>
      </c>
      <c r="T86" s="250">
        <f>SUM(Q86:S107)</f>
        <v>665360000</v>
      </c>
      <c r="U86" s="65" t="s">
        <v>420</v>
      </c>
      <c r="V86" s="150">
        <v>20</v>
      </c>
      <c r="W86" s="150">
        <f>H86/V86</f>
        <v>76.400000000000006</v>
      </c>
      <c r="X86" s="146" t="s">
        <v>2</v>
      </c>
      <c r="Y86" s="149">
        <v>20</v>
      </c>
      <c r="Z86" s="62"/>
      <c r="AA86" s="79"/>
      <c r="AB86" s="80"/>
      <c r="AC86" s="149"/>
      <c r="AD86" s="250">
        <f>SUM(AC86:AC96)</f>
        <v>163500000</v>
      </c>
      <c r="AE86" s="251">
        <f>T86+AD86+AD97</f>
        <v>876860000</v>
      </c>
      <c r="AF86" s="31" t="s">
        <v>428</v>
      </c>
      <c r="AG86" s="81"/>
      <c r="AH86" s="81"/>
      <c r="AI86" s="81"/>
      <c r="AJ86" s="81"/>
      <c r="AK86" s="81"/>
    </row>
    <row r="87" spans="1:37" s="19" customFormat="1" ht="22.5" customHeight="1">
      <c r="A87" s="262"/>
      <c r="B87" s="271"/>
      <c r="C87" s="258"/>
      <c r="D87" s="258"/>
      <c r="E87" s="258"/>
      <c r="F87" s="258"/>
      <c r="G87" s="258"/>
      <c r="H87" s="250"/>
      <c r="I87" s="256"/>
      <c r="J87" s="250"/>
      <c r="K87" s="250"/>
      <c r="L87" s="250"/>
      <c r="M87" s="256"/>
      <c r="N87" s="250"/>
      <c r="O87" s="250"/>
      <c r="P87" s="250"/>
      <c r="Q87" s="250"/>
      <c r="R87" s="250"/>
      <c r="S87" s="250"/>
      <c r="T87" s="250"/>
      <c r="U87" s="67" t="s">
        <v>421</v>
      </c>
      <c r="V87" s="150"/>
      <c r="W87" s="150"/>
      <c r="X87" s="146" t="s">
        <v>2</v>
      </c>
      <c r="Y87" s="149">
        <v>20</v>
      </c>
      <c r="Z87" s="62">
        <v>2500000</v>
      </c>
      <c r="AA87" s="79"/>
      <c r="AB87" s="80">
        <v>1</v>
      </c>
      <c r="AC87" s="149">
        <f t="shared" ref="AC87:AC89" si="11">Y87*Z87*AB87</f>
        <v>50000000</v>
      </c>
      <c r="AD87" s="250"/>
      <c r="AE87" s="251"/>
      <c r="AF87" s="31"/>
      <c r="AG87" s="81"/>
      <c r="AH87" s="81"/>
      <c r="AI87" s="81"/>
      <c r="AJ87" s="81"/>
      <c r="AK87" s="81"/>
    </row>
    <row r="88" spans="1:37" s="19" customFormat="1" ht="37.5" customHeight="1">
      <c r="A88" s="262"/>
      <c r="B88" s="271"/>
      <c r="C88" s="258"/>
      <c r="D88" s="258"/>
      <c r="E88" s="258"/>
      <c r="F88" s="258"/>
      <c r="G88" s="258"/>
      <c r="H88" s="250"/>
      <c r="I88" s="256"/>
      <c r="J88" s="250"/>
      <c r="K88" s="250"/>
      <c r="L88" s="250"/>
      <c r="M88" s="256"/>
      <c r="N88" s="250"/>
      <c r="O88" s="250"/>
      <c r="P88" s="250"/>
      <c r="Q88" s="250"/>
      <c r="R88" s="250"/>
      <c r="S88" s="250"/>
      <c r="T88" s="250"/>
      <c r="U88" s="65" t="s">
        <v>645</v>
      </c>
      <c r="V88" s="150"/>
      <c r="W88" s="150"/>
      <c r="X88" s="146" t="s">
        <v>2</v>
      </c>
      <c r="Y88" s="149">
        <v>55</v>
      </c>
      <c r="Z88" s="62"/>
      <c r="AA88" s="79"/>
      <c r="AB88" s="80"/>
      <c r="AC88" s="149"/>
      <c r="AD88" s="250"/>
      <c r="AE88" s="251"/>
      <c r="AF88" s="31"/>
      <c r="AG88" s="81"/>
      <c r="AH88" s="81"/>
      <c r="AI88" s="81"/>
      <c r="AJ88" s="81"/>
      <c r="AK88" s="81"/>
    </row>
    <row r="89" spans="1:37" s="19" customFormat="1" ht="22.5" customHeight="1">
      <c r="A89" s="262"/>
      <c r="B89" s="271"/>
      <c r="C89" s="258"/>
      <c r="D89" s="258"/>
      <c r="E89" s="258"/>
      <c r="F89" s="258"/>
      <c r="G89" s="258"/>
      <c r="H89" s="250"/>
      <c r="I89" s="256"/>
      <c r="J89" s="250"/>
      <c r="K89" s="250"/>
      <c r="L89" s="250"/>
      <c r="M89" s="256"/>
      <c r="N89" s="250"/>
      <c r="O89" s="250"/>
      <c r="P89" s="250"/>
      <c r="Q89" s="250"/>
      <c r="R89" s="250"/>
      <c r="S89" s="250"/>
      <c r="T89" s="250"/>
      <c r="U89" s="67" t="s">
        <v>421</v>
      </c>
      <c r="V89" s="150"/>
      <c r="W89" s="150"/>
      <c r="X89" s="146" t="s">
        <v>2</v>
      </c>
      <c r="Y89" s="149">
        <v>55</v>
      </c>
      <c r="Z89" s="62">
        <v>1800000</v>
      </c>
      <c r="AA89" s="79"/>
      <c r="AB89" s="80">
        <v>1</v>
      </c>
      <c r="AC89" s="149">
        <f t="shared" si="11"/>
        <v>99000000</v>
      </c>
      <c r="AD89" s="250"/>
      <c r="AE89" s="251"/>
      <c r="AF89" s="31"/>
      <c r="AG89" s="81"/>
      <c r="AH89" s="81"/>
      <c r="AI89" s="81"/>
      <c r="AJ89" s="81"/>
      <c r="AK89" s="81"/>
    </row>
    <row r="90" spans="1:37" s="19" customFormat="1" ht="39.75" customHeight="1">
      <c r="A90" s="262"/>
      <c r="B90" s="271"/>
      <c r="C90" s="258"/>
      <c r="D90" s="258"/>
      <c r="E90" s="258"/>
      <c r="F90" s="258"/>
      <c r="G90" s="258"/>
      <c r="H90" s="250"/>
      <c r="I90" s="256"/>
      <c r="J90" s="250"/>
      <c r="K90" s="250"/>
      <c r="L90" s="250"/>
      <c r="M90" s="256"/>
      <c r="N90" s="250"/>
      <c r="O90" s="250"/>
      <c r="P90" s="250"/>
      <c r="Q90" s="250"/>
      <c r="R90" s="250"/>
      <c r="S90" s="250"/>
      <c r="T90" s="250"/>
      <c r="U90" s="65" t="s">
        <v>522</v>
      </c>
      <c r="V90" s="150">
        <v>25</v>
      </c>
      <c r="W90" s="150">
        <f>H86/V90</f>
        <v>61.12</v>
      </c>
      <c r="X90" s="146" t="s">
        <v>2</v>
      </c>
      <c r="Y90" s="149">
        <v>20</v>
      </c>
      <c r="Z90" s="62"/>
      <c r="AA90" s="84"/>
      <c r="AB90" s="68"/>
      <c r="AC90" s="149"/>
      <c r="AD90" s="250"/>
      <c r="AE90" s="251"/>
      <c r="AF90" s="31"/>
      <c r="AG90" s="81"/>
      <c r="AH90" s="81"/>
      <c r="AI90" s="81"/>
      <c r="AJ90" s="81"/>
      <c r="AK90" s="81"/>
    </row>
    <row r="91" spans="1:37" s="19" customFormat="1" ht="22.5" customHeight="1">
      <c r="A91" s="262"/>
      <c r="B91" s="271"/>
      <c r="C91" s="258"/>
      <c r="D91" s="258"/>
      <c r="E91" s="258"/>
      <c r="F91" s="258"/>
      <c r="G91" s="258"/>
      <c r="H91" s="250"/>
      <c r="I91" s="256"/>
      <c r="J91" s="250"/>
      <c r="K91" s="250"/>
      <c r="L91" s="250"/>
      <c r="M91" s="256"/>
      <c r="N91" s="250"/>
      <c r="O91" s="250"/>
      <c r="P91" s="250"/>
      <c r="Q91" s="250"/>
      <c r="R91" s="250"/>
      <c r="S91" s="250"/>
      <c r="T91" s="250"/>
      <c r="U91" s="67" t="s">
        <v>421</v>
      </c>
      <c r="V91" s="150"/>
      <c r="W91" s="150"/>
      <c r="X91" s="146" t="s">
        <v>2</v>
      </c>
      <c r="Y91" s="149">
        <v>20</v>
      </c>
      <c r="Z91" s="62">
        <v>1000000</v>
      </c>
      <c r="AA91" s="79"/>
      <c r="AB91" s="80">
        <v>0.5</v>
      </c>
      <c r="AC91" s="149">
        <f t="shared" ref="AC91" si="12">Y91*Z91*AB91</f>
        <v>10000000</v>
      </c>
      <c r="AD91" s="250"/>
      <c r="AE91" s="251"/>
      <c r="AF91" s="31"/>
      <c r="AG91" s="81"/>
      <c r="AH91" s="81"/>
      <c r="AI91" s="81"/>
      <c r="AJ91" s="81"/>
      <c r="AK91" s="81"/>
    </row>
    <row r="92" spans="1:37" s="19" customFormat="1" ht="34.5" customHeight="1">
      <c r="A92" s="262"/>
      <c r="B92" s="271"/>
      <c r="C92" s="258"/>
      <c r="D92" s="258"/>
      <c r="E92" s="258"/>
      <c r="F92" s="258"/>
      <c r="G92" s="258"/>
      <c r="H92" s="250"/>
      <c r="I92" s="256"/>
      <c r="J92" s="250"/>
      <c r="K92" s="250"/>
      <c r="L92" s="250"/>
      <c r="M92" s="256"/>
      <c r="N92" s="250"/>
      <c r="O92" s="250"/>
      <c r="P92" s="250"/>
      <c r="Q92" s="250"/>
      <c r="R92" s="250"/>
      <c r="S92" s="250"/>
      <c r="T92" s="250"/>
      <c r="U92" s="65" t="s">
        <v>523</v>
      </c>
      <c r="V92" s="150">
        <v>4</v>
      </c>
      <c r="W92" s="150">
        <f>H86/V92</f>
        <v>382</v>
      </c>
      <c r="X92" s="146" t="s">
        <v>396</v>
      </c>
      <c r="Y92" s="149">
        <v>30</v>
      </c>
      <c r="Z92" s="62"/>
      <c r="AA92" s="84"/>
      <c r="AB92" s="68"/>
      <c r="AC92" s="149"/>
      <c r="AD92" s="250"/>
      <c r="AE92" s="251"/>
      <c r="AF92" s="31"/>
      <c r="AG92" s="81"/>
      <c r="AH92" s="81"/>
      <c r="AI92" s="81"/>
      <c r="AJ92" s="81"/>
      <c r="AK92" s="81"/>
    </row>
    <row r="93" spans="1:37" s="19" customFormat="1" ht="22.5" customHeight="1">
      <c r="A93" s="262"/>
      <c r="B93" s="271"/>
      <c r="C93" s="258"/>
      <c r="D93" s="258"/>
      <c r="E93" s="258"/>
      <c r="F93" s="258"/>
      <c r="G93" s="258"/>
      <c r="H93" s="250"/>
      <c r="I93" s="256"/>
      <c r="J93" s="250"/>
      <c r="K93" s="250"/>
      <c r="L93" s="250"/>
      <c r="M93" s="256"/>
      <c r="N93" s="250"/>
      <c r="O93" s="250"/>
      <c r="P93" s="250"/>
      <c r="Q93" s="250"/>
      <c r="R93" s="250"/>
      <c r="S93" s="250"/>
      <c r="T93" s="250"/>
      <c r="U93" s="67" t="s">
        <v>421</v>
      </c>
      <c r="V93" s="150"/>
      <c r="W93" s="150"/>
      <c r="X93" s="146" t="s">
        <v>396</v>
      </c>
      <c r="Y93" s="149">
        <v>30</v>
      </c>
      <c r="Z93" s="62">
        <v>200000</v>
      </c>
      <c r="AA93" s="84"/>
      <c r="AB93" s="68">
        <v>0.5</v>
      </c>
      <c r="AC93" s="149">
        <f>Y93*Z93*AB93</f>
        <v>3000000</v>
      </c>
      <c r="AD93" s="250"/>
      <c r="AE93" s="251"/>
      <c r="AF93" s="31"/>
      <c r="AG93" s="81"/>
      <c r="AH93" s="81"/>
      <c r="AI93" s="81"/>
      <c r="AJ93" s="81"/>
      <c r="AK93" s="81"/>
    </row>
    <row r="94" spans="1:37" s="19" customFormat="1" ht="30.75" customHeight="1">
      <c r="A94" s="262"/>
      <c r="B94" s="271"/>
      <c r="C94" s="258"/>
      <c r="D94" s="258"/>
      <c r="E94" s="258"/>
      <c r="F94" s="258"/>
      <c r="G94" s="258"/>
      <c r="H94" s="250"/>
      <c r="I94" s="256"/>
      <c r="J94" s="250"/>
      <c r="K94" s="250"/>
      <c r="L94" s="250"/>
      <c r="M94" s="256"/>
      <c r="N94" s="250"/>
      <c r="O94" s="250"/>
      <c r="P94" s="250"/>
      <c r="Q94" s="250"/>
      <c r="R94" s="250"/>
      <c r="S94" s="250"/>
      <c r="T94" s="250"/>
      <c r="U94" s="65" t="s">
        <v>524</v>
      </c>
      <c r="V94" s="150"/>
      <c r="W94" s="150"/>
      <c r="X94" s="146" t="s">
        <v>396</v>
      </c>
      <c r="Y94" s="149">
        <v>20</v>
      </c>
      <c r="Z94" s="62"/>
      <c r="AA94" s="84"/>
      <c r="AB94" s="68"/>
      <c r="AC94" s="149"/>
      <c r="AD94" s="250"/>
      <c r="AE94" s="251"/>
      <c r="AF94" s="31"/>
      <c r="AG94" s="81"/>
      <c r="AH94" s="81"/>
      <c r="AI94" s="81"/>
      <c r="AJ94" s="81"/>
      <c r="AK94" s="81"/>
    </row>
    <row r="95" spans="1:37" s="19" customFormat="1" ht="22.5" customHeight="1">
      <c r="A95" s="262"/>
      <c r="B95" s="271"/>
      <c r="C95" s="258"/>
      <c r="D95" s="258"/>
      <c r="E95" s="258"/>
      <c r="F95" s="258"/>
      <c r="G95" s="258"/>
      <c r="H95" s="250"/>
      <c r="I95" s="256"/>
      <c r="J95" s="250"/>
      <c r="K95" s="250"/>
      <c r="L95" s="250"/>
      <c r="M95" s="256"/>
      <c r="N95" s="250"/>
      <c r="O95" s="250"/>
      <c r="P95" s="250"/>
      <c r="Q95" s="250"/>
      <c r="R95" s="250"/>
      <c r="S95" s="250"/>
      <c r="T95" s="250"/>
      <c r="U95" s="67" t="s">
        <v>421</v>
      </c>
      <c r="V95" s="150"/>
      <c r="W95" s="150"/>
      <c r="X95" s="146" t="s">
        <v>396</v>
      </c>
      <c r="Y95" s="149">
        <v>20</v>
      </c>
      <c r="Z95" s="62">
        <v>150000</v>
      </c>
      <c r="AA95" s="84"/>
      <c r="AB95" s="68">
        <v>0.5</v>
      </c>
      <c r="AC95" s="149">
        <f>Y95*Z95*AB95</f>
        <v>1500000</v>
      </c>
      <c r="AD95" s="250"/>
      <c r="AE95" s="251"/>
      <c r="AF95" s="31"/>
      <c r="AG95" s="81"/>
      <c r="AH95" s="81"/>
      <c r="AI95" s="81"/>
      <c r="AJ95" s="81"/>
      <c r="AK95" s="81"/>
    </row>
    <row r="96" spans="1:37" s="19" customFormat="1" ht="22.5" customHeight="1">
      <c r="A96" s="262"/>
      <c r="B96" s="271"/>
      <c r="C96" s="258"/>
      <c r="D96" s="258"/>
      <c r="E96" s="258"/>
      <c r="F96" s="258"/>
      <c r="G96" s="258"/>
      <c r="H96" s="250"/>
      <c r="I96" s="256"/>
      <c r="J96" s="250"/>
      <c r="K96" s="250"/>
      <c r="L96" s="250"/>
      <c r="M96" s="256"/>
      <c r="N96" s="250"/>
      <c r="O96" s="250"/>
      <c r="P96" s="250"/>
      <c r="Q96" s="250"/>
      <c r="R96" s="250"/>
      <c r="S96" s="250"/>
      <c r="T96" s="250"/>
      <c r="U96" s="145" t="s">
        <v>525</v>
      </c>
      <c r="V96" s="150"/>
      <c r="W96" s="150"/>
      <c r="X96" s="146" t="s">
        <v>399</v>
      </c>
      <c r="Y96" s="147">
        <v>2</v>
      </c>
      <c r="Z96" s="62"/>
      <c r="AA96" s="79"/>
      <c r="AB96" s="80"/>
      <c r="AC96" s="149"/>
      <c r="AD96" s="250"/>
      <c r="AE96" s="251"/>
      <c r="AF96" s="31"/>
      <c r="AG96" s="81"/>
      <c r="AH96" s="81"/>
      <c r="AI96" s="81"/>
      <c r="AJ96" s="81"/>
      <c r="AK96" s="81"/>
    </row>
    <row r="97" spans="1:37" s="19" customFormat="1" ht="35.25" customHeight="1">
      <c r="A97" s="262"/>
      <c r="B97" s="271"/>
      <c r="C97" s="262"/>
      <c r="D97" s="262">
        <v>64</v>
      </c>
      <c r="E97" s="262">
        <v>602</v>
      </c>
      <c r="F97" s="262">
        <v>355</v>
      </c>
      <c r="G97" s="262" t="s">
        <v>28</v>
      </c>
      <c r="H97" s="264">
        <v>360</v>
      </c>
      <c r="I97" s="273">
        <f>F97-H97</f>
        <v>-5</v>
      </c>
      <c r="J97" s="250"/>
      <c r="K97" s="250"/>
      <c r="L97" s="250"/>
      <c r="M97" s="256"/>
      <c r="N97" s="250"/>
      <c r="O97" s="250"/>
      <c r="P97" s="250"/>
      <c r="Q97" s="250"/>
      <c r="R97" s="250"/>
      <c r="S97" s="250"/>
      <c r="T97" s="250"/>
      <c r="U97" s="65" t="s">
        <v>420</v>
      </c>
      <c r="V97" s="150">
        <v>20</v>
      </c>
      <c r="W97" s="150">
        <f>H97/V97</f>
        <v>18</v>
      </c>
      <c r="X97" s="146" t="s">
        <v>2</v>
      </c>
      <c r="Y97" s="149">
        <v>18</v>
      </c>
      <c r="Z97" s="62"/>
      <c r="AA97" s="79"/>
      <c r="AB97" s="80"/>
      <c r="AC97" s="149"/>
      <c r="AD97" s="250">
        <f>SUM(AC97:AC107)</f>
        <v>48000000</v>
      </c>
      <c r="AE97" s="251"/>
      <c r="AF97" s="31" t="s">
        <v>526</v>
      </c>
      <c r="AG97" s="81"/>
      <c r="AH97" s="81"/>
      <c r="AI97" s="81"/>
      <c r="AJ97" s="81"/>
      <c r="AK97" s="81"/>
    </row>
    <row r="98" spans="1:37" s="19" customFormat="1" ht="22.5" customHeight="1">
      <c r="A98" s="262"/>
      <c r="B98" s="271"/>
      <c r="C98" s="262"/>
      <c r="D98" s="262"/>
      <c r="E98" s="262"/>
      <c r="F98" s="262"/>
      <c r="G98" s="262"/>
      <c r="H98" s="264"/>
      <c r="I98" s="273"/>
      <c r="J98" s="250"/>
      <c r="K98" s="250"/>
      <c r="L98" s="250"/>
      <c r="M98" s="256"/>
      <c r="N98" s="250"/>
      <c r="O98" s="250"/>
      <c r="P98" s="250"/>
      <c r="Q98" s="250"/>
      <c r="R98" s="250"/>
      <c r="S98" s="250"/>
      <c r="T98" s="250"/>
      <c r="U98" s="67" t="s">
        <v>421</v>
      </c>
      <c r="V98" s="150"/>
      <c r="W98" s="150"/>
      <c r="X98" s="146" t="s">
        <v>2</v>
      </c>
      <c r="Y98" s="149">
        <v>18</v>
      </c>
      <c r="Z98" s="62">
        <v>2500000</v>
      </c>
      <c r="AA98" s="79"/>
      <c r="AB98" s="80">
        <v>1</v>
      </c>
      <c r="AC98" s="149">
        <f>Y98*Z98*AB98</f>
        <v>45000000</v>
      </c>
      <c r="AD98" s="250"/>
      <c r="AE98" s="251"/>
      <c r="AF98" s="31"/>
      <c r="AG98" s="81"/>
      <c r="AH98" s="81"/>
      <c r="AI98" s="81"/>
      <c r="AJ98" s="81"/>
      <c r="AK98" s="81"/>
    </row>
    <row r="99" spans="1:37" s="19" customFormat="1" ht="36.75" customHeight="1">
      <c r="A99" s="262"/>
      <c r="B99" s="271"/>
      <c r="C99" s="262"/>
      <c r="D99" s="262"/>
      <c r="E99" s="262"/>
      <c r="F99" s="262"/>
      <c r="G99" s="262"/>
      <c r="H99" s="264"/>
      <c r="I99" s="273"/>
      <c r="J99" s="250"/>
      <c r="K99" s="250"/>
      <c r="L99" s="250"/>
      <c r="M99" s="256"/>
      <c r="N99" s="250"/>
      <c r="O99" s="250"/>
      <c r="P99" s="250"/>
      <c r="Q99" s="250"/>
      <c r="R99" s="250"/>
      <c r="S99" s="250"/>
      <c r="T99" s="250"/>
      <c r="U99" s="65" t="s">
        <v>527</v>
      </c>
      <c r="V99" s="150">
        <v>25</v>
      </c>
      <c r="W99" s="150">
        <f>H97/V99</f>
        <v>14.4</v>
      </c>
      <c r="X99" s="146" t="s">
        <v>2</v>
      </c>
      <c r="Y99" s="149">
        <v>10</v>
      </c>
      <c r="Z99" s="62"/>
      <c r="AA99" s="84"/>
      <c r="AB99" s="68"/>
      <c r="AC99" s="149"/>
      <c r="AD99" s="250"/>
      <c r="AE99" s="251"/>
      <c r="AF99" s="31"/>
      <c r="AG99" s="81"/>
      <c r="AH99" s="81"/>
      <c r="AI99" s="81"/>
      <c r="AJ99" s="81"/>
      <c r="AK99" s="81"/>
    </row>
    <row r="100" spans="1:37" s="19" customFormat="1" ht="23.25" customHeight="1">
      <c r="A100" s="262"/>
      <c r="B100" s="271"/>
      <c r="C100" s="262"/>
      <c r="D100" s="262"/>
      <c r="E100" s="262"/>
      <c r="F100" s="262"/>
      <c r="G100" s="262"/>
      <c r="H100" s="264"/>
      <c r="I100" s="273"/>
      <c r="J100" s="250"/>
      <c r="K100" s="250"/>
      <c r="L100" s="250"/>
      <c r="M100" s="256"/>
      <c r="N100" s="250"/>
      <c r="O100" s="250"/>
      <c r="P100" s="250"/>
      <c r="Q100" s="250"/>
      <c r="R100" s="250"/>
      <c r="S100" s="250"/>
      <c r="T100" s="250"/>
      <c r="U100" s="67" t="s">
        <v>421</v>
      </c>
      <c r="V100" s="150"/>
      <c r="W100" s="150"/>
      <c r="X100" s="146" t="s">
        <v>2</v>
      </c>
      <c r="Y100" s="149">
        <v>10</v>
      </c>
      <c r="Z100" s="62">
        <v>1000000</v>
      </c>
      <c r="AA100" s="79"/>
      <c r="AB100" s="80">
        <v>0.3</v>
      </c>
      <c r="AC100" s="149">
        <f t="shared" ref="AC100" si="13">Y100*Z100*AB100</f>
        <v>3000000</v>
      </c>
      <c r="AD100" s="250"/>
      <c r="AE100" s="251"/>
      <c r="AF100" s="31"/>
      <c r="AG100" s="81"/>
      <c r="AH100" s="81"/>
      <c r="AI100" s="81"/>
      <c r="AJ100" s="81"/>
      <c r="AK100" s="81"/>
    </row>
    <row r="101" spans="1:37" s="19" customFormat="1" ht="35.25" customHeight="1">
      <c r="A101" s="262"/>
      <c r="B101" s="271"/>
      <c r="C101" s="262"/>
      <c r="D101" s="262"/>
      <c r="E101" s="262"/>
      <c r="F101" s="262"/>
      <c r="G101" s="262"/>
      <c r="H101" s="264"/>
      <c r="I101" s="273"/>
      <c r="J101" s="250"/>
      <c r="K101" s="250"/>
      <c r="L101" s="250"/>
      <c r="M101" s="256"/>
      <c r="N101" s="250"/>
      <c r="O101" s="250"/>
      <c r="P101" s="250"/>
      <c r="Q101" s="250"/>
      <c r="R101" s="250"/>
      <c r="S101" s="250"/>
      <c r="T101" s="250"/>
      <c r="U101" s="65" t="s">
        <v>528</v>
      </c>
      <c r="V101" s="150"/>
      <c r="W101" s="150"/>
      <c r="X101" s="146" t="s">
        <v>2</v>
      </c>
      <c r="Y101" s="149">
        <v>10</v>
      </c>
      <c r="Z101" s="62"/>
      <c r="AA101" s="79"/>
      <c r="AB101" s="80"/>
      <c r="AC101" s="149"/>
      <c r="AD101" s="250"/>
      <c r="AE101" s="251"/>
      <c r="AF101" s="31"/>
      <c r="AG101" s="81"/>
      <c r="AH101" s="81"/>
      <c r="AI101" s="81"/>
      <c r="AJ101" s="81"/>
      <c r="AK101" s="81"/>
    </row>
    <row r="102" spans="1:37" s="19" customFormat="1" ht="23.25" customHeight="1">
      <c r="A102" s="262"/>
      <c r="B102" s="271"/>
      <c r="C102" s="262"/>
      <c r="D102" s="262"/>
      <c r="E102" s="262"/>
      <c r="F102" s="262"/>
      <c r="G102" s="262"/>
      <c r="H102" s="264"/>
      <c r="I102" s="273"/>
      <c r="J102" s="250"/>
      <c r="K102" s="250"/>
      <c r="L102" s="250"/>
      <c r="M102" s="256"/>
      <c r="N102" s="250"/>
      <c r="O102" s="250"/>
      <c r="P102" s="250"/>
      <c r="Q102" s="250"/>
      <c r="R102" s="250"/>
      <c r="S102" s="250"/>
      <c r="T102" s="250"/>
      <c r="U102" s="67" t="s">
        <v>486</v>
      </c>
      <c r="V102" s="150"/>
      <c r="W102" s="150"/>
      <c r="X102" s="146" t="s">
        <v>2</v>
      </c>
      <c r="Y102" s="149">
        <v>10</v>
      </c>
      <c r="Z102" s="62">
        <v>500000</v>
      </c>
      <c r="AA102" s="79"/>
      <c r="AB102" s="80">
        <v>0</v>
      </c>
      <c r="AC102" s="149">
        <f t="shared" ref="AC102" si="14">Y102*Z102*AB102</f>
        <v>0</v>
      </c>
      <c r="AD102" s="250"/>
      <c r="AE102" s="251"/>
      <c r="AF102" s="31"/>
      <c r="AG102" s="81"/>
      <c r="AH102" s="81"/>
      <c r="AI102" s="81"/>
      <c r="AJ102" s="81"/>
      <c r="AK102" s="81"/>
    </row>
    <row r="103" spans="1:37" s="19" customFormat="1" ht="37.5" customHeight="1">
      <c r="A103" s="262"/>
      <c r="B103" s="271"/>
      <c r="C103" s="262"/>
      <c r="D103" s="262"/>
      <c r="E103" s="262"/>
      <c r="F103" s="262"/>
      <c r="G103" s="262"/>
      <c r="H103" s="264"/>
      <c r="I103" s="273"/>
      <c r="J103" s="250"/>
      <c r="K103" s="250"/>
      <c r="L103" s="250"/>
      <c r="M103" s="256"/>
      <c r="N103" s="250"/>
      <c r="O103" s="250"/>
      <c r="P103" s="250"/>
      <c r="Q103" s="250"/>
      <c r="R103" s="250"/>
      <c r="S103" s="250"/>
      <c r="T103" s="250"/>
      <c r="U103" s="65" t="s">
        <v>529</v>
      </c>
      <c r="V103" s="150"/>
      <c r="W103" s="150"/>
      <c r="X103" s="146" t="s">
        <v>2</v>
      </c>
      <c r="Y103" s="149">
        <v>10</v>
      </c>
      <c r="Z103" s="62"/>
      <c r="AA103" s="84"/>
      <c r="AB103" s="68"/>
      <c r="AC103" s="149"/>
      <c r="AD103" s="250"/>
      <c r="AE103" s="251"/>
      <c r="AF103" s="31"/>
      <c r="AG103" s="81"/>
      <c r="AH103" s="81"/>
      <c r="AI103" s="81"/>
      <c r="AJ103" s="81"/>
      <c r="AK103" s="81"/>
    </row>
    <row r="104" spans="1:37" s="19" customFormat="1" ht="23.25" customHeight="1">
      <c r="A104" s="262"/>
      <c r="B104" s="271"/>
      <c r="C104" s="262"/>
      <c r="D104" s="262"/>
      <c r="E104" s="262"/>
      <c r="F104" s="262"/>
      <c r="G104" s="262"/>
      <c r="H104" s="264"/>
      <c r="I104" s="273"/>
      <c r="J104" s="250"/>
      <c r="K104" s="250"/>
      <c r="L104" s="250"/>
      <c r="M104" s="256"/>
      <c r="N104" s="250"/>
      <c r="O104" s="250"/>
      <c r="P104" s="250"/>
      <c r="Q104" s="250"/>
      <c r="R104" s="250"/>
      <c r="S104" s="250"/>
      <c r="T104" s="250"/>
      <c r="U104" s="67" t="s">
        <v>486</v>
      </c>
      <c r="V104" s="150"/>
      <c r="W104" s="150"/>
      <c r="X104" s="146" t="s">
        <v>2</v>
      </c>
      <c r="Y104" s="149">
        <v>100</v>
      </c>
      <c r="Z104" s="62">
        <v>190000</v>
      </c>
      <c r="AA104" s="79"/>
      <c r="AB104" s="80">
        <v>0</v>
      </c>
      <c r="AC104" s="149">
        <f t="shared" ref="AC104" si="15">Y104*Z104*AB104</f>
        <v>0</v>
      </c>
      <c r="AD104" s="250"/>
      <c r="AE104" s="251"/>
      <c r="AF104" s="31"/>
      <c r="AG104" s="81"/>
      <c r="AH104" s="81"/>
      <c r="AI104" s="81"/>
      <c r="AJ104" s="81"/>
      <c r="AK104" s="81"/>
    </row>
    <row r="105" spans="1:37" s="19" customFormat="1" ht="53.25" customHeight="1">
      <c r="A105" s="262"/>
      <c r="B105" s="271"/>
      <c r="C105" s="262"/>
      <c r="D105" s="262"/>
      <c r="E105" s="262"/>
      <c r="F105" s="262"/>
      <c r="G105" s="262"/>
      <c r="H105" s="264"/>
      <c r="I105" s="273"/>
      <c r="J105" s="250"/>
      <c r="K105" s="250"/>
      <c r="L105" s="250"/>
      <c r="M105" s="256"/>
      <c r="N105" s="250"/>
      <c r="O105" s="250"/>
      <c r="P105" s="250"/>
      <c r="Q105" s="250"/>
      <c r="R105" s="250"/>
      <c r="S105" s="250"/>
      <c r="T105" s="250"/>
      <c r="U105" s="144" t="s">
        <v>470</v>
      </c>
      <c r="V105" s="150"/>
      <c r="W105" s="150"/>
      <c r="X105" s="146" t="s">
        <v>6</v>
      </c>
      <c r="Y105" s="147">
        <v>181.5</v>
      </c>
      <c r="Z105" s="62"/>
      <c r="AA105" s="79"/>
      <c r="AB105" s="80"/>
      <c r="AC105" s="149"/>
      <c r="AD105" s="250"/>
      <c r="AE105" s="251"/>
      <c r="AF105" s="31"/>
      <c r="AG105" s="81"/>
      <c r="AH105" s="81"/>
      <c r="AI105" s="81"/>
      <c r="AJ105" s="81"/>
      <c r="AK105" s="81"/>
    </row>
    <row r="106" spans="1:37" s="19" customFormat="1" ht="48" customHeight="1">
      <c r="A106" s="262"/>
      <c r="B106" s="271"/>
      <c r="C106" s="262"/>
      <c r="D106" s="262"/>
      <c r="E106" s="262"/>
      <c r="F106" s="262"/>
      <c r="G106" s="262"/>
      <c r="H106" s="264"/>
      <c r="I106" s="273"/>
      <c r="J106" s="250"/>
      <c r="K106" s="250"/>
      <c r="L106" s="250"/>
      <c r="M106" s="256"/>
      <c r="N106" s="250"/>
      <c r="O106" s="250"/>
      <c r="P106" s="250"/>
      <c r="Q106" s="250"/>
      <c r="R106" s="250"/>
      <c r="S106" s="250"/>
      <c r="T106" s="250"/>
      <c r="U106" s="145" t="s">
        <v>508</v>
      </c>
      <c r="V106" s="150"/>
      <c r="W106" s="150"/>
      <c r="X106" s="146" t="s">
        <v>6</v>
      </c>
      <c r="Y106" s="147">
        <v>6</v>
      </c>
      <c r="Z106" s="62"/>
      <c r="AA106" s="79"/>
      <c r="AB106" s="80"/>
      <c r="AC106" s="149"/>
      <c r="AD106" s="250"/>
      <c r="AE106" s="251"/>
      <c r="AF106" s="31"/>
      <c r="AG106" s="81"/>
      <c r="AH106" s="81"/>
      <c r="AI106" s="81"/>
      <c r="AJ106" s="81"/>
      <c r="AK106" s="81"/>
    </row>
    <row r="107" spans="1:37" s="19" customFormat="1" ht="23.25" customHeight="1">
      <c r="A107" s="262"/>
      <c r="B107" s="271"/>
      <c r="C107" s="262"/>
      <c r="D107" s="262"/>
      <c r="E107" s="262"/>
      <c r="F107" s="262"/>
      <c r="G107" s="262"/>
      <c r="H107" s="264"/>
      <c r="I107" s="273"/>
      <c r="J107" s="250"/>
      <c r="K107" s="250"/>
      <c r="L107" s="250"/>
      <c r="M107" s="256"/>
      <c r="N107" s="250"/>
      <c r="O107" s="250"/>
      <c r="P107" s="250"/>
      <c r="Q107" s="250"/>
      <c r="R107" s="250"/>
      <c r="S107" s="250"/>
      <c r="T107" s="250"/>
      <c r="U107" s="145" t="s">
        <v>484</v>
      </c>
      <c r="V107" s="150"/>
      <c r="W107" s="150"/>
      <c r="X107" s="146" t="s">
        <v>399</v>
      </c>
      <c r="Y107" s="147">
        <v>1</v>
      </c>
      <c r="Z107" s="62"/>
      <c r="AA107" s="79"/>
      <c r="AB107" s="80"/>
      <c r="AC107" s="149"/>
      <c r="AD107" s="250"/>
      <c r="AE107" s="251"/>
      <c r="AF107" s="31"/>
      <c r="AG107" s="81"/>
      <c r="AH107" s="81"/>
      <c r="AI107" s="81"/>
      <c r="AJ107" s="81"/>
      <c r="AK107" s="81"/>
    </row>
    <row r="108" spans="1:37" s="20" customFormat="1" ht="30.75" customHeight="1">
      <c r="A108" s="262">
        <v>14</v>
      </c>
      <c r="B108" s="271" t="s">
        <v>531</v>
      </c>
      <c r="C108" s="271" t="s">
        <v>412</v>
      </c>
      <c r="D108" s="258">
        <v>64</v>
      </c>
      <c r="E108" s="258">
        <v>598</v>
      </c>
      <c r="F108" s="258">
        <v>356.8</v>
      </c>
      <c r="G108" s="258" t="s">
        <v>28</v>
      </c>
      <c r="H108" s="250">
        <v>360</v>
      </c>
      <c r="I108" s="256">
        <f>F108-H108</f>
        <v>-3.1999999999999886</v>
      </c>
      <c r="J108" s="250">
        <v>360</v>
      </c>
      <c r="K108" s="250">
        <v>360</v>
      </c>
      <c r="L108" s="250">
        <v>450</v>
      </c>
      <c r="M108" s="272">
        <f>J108/K108*100</f>
        <v>100</v>
      </c>
      <c r="N108" s="250">
        <v>12</v>
      </c>
      <c r="O108" s="250">
        <v>2</v>
      </c>
      <c r="P108" s="250">
        <v>80000</v>
      </c>
      <c r="Q108" s="250">
        <f>P108*J108</f>
        <v>28800000</v>
      </c>
      <c r="R108" s="250">
        <f>Q108*3</f>
        <v>86400000</v>
      </c>
      <c r="S108" s="250">
        <f>N108*O108*17000*30</f>
        <v>12240000</v>
      </c>
      <c r="T108" s="250">
        <f>SUM(Q108:S118)</f>
        <v>127440000</v>
      </c>
      <c r="U108" s="65" t="s">
        <v>457</v>
      </c>
      <c r="V108" s="150">
        <v>25</v>
      </c>
      <c r="W108" s="150">
        <f>(J108-Y116)/V108</f>
        <v>14.175999999999998</v>
      </c>
      <c r="X108" s="146" t="s">
        <v>2</v>
      </c>
      <c r="Y108" s="149">
        <v>10</v>
      </c>
      <c r="Z108" s="62"/>
      <c r="AA108" s="79"/>
      <c r="AB108" s="80"/>
      <c r="AC108" s="149"/>
      <c r="AD108" s="250">
        <f>SUM(AC108:AC118)</f>
        <v>50050000</v>
      </c>
      <c r="AE108" s="251">
        <f>T108+AD108</f>
        <v>177490000</v>
      </c>
      <c r="AF108" s="31" t="s">
        <v>452</v>
      </c>
      <c r="AG108" s="29"/>
      <c r="AH108" s="29"/>
      <c r="AI108" s="29"/>
      <c r="AJ108" s="29"/>
      <c r="AK108" s="29"/>
    </row>
    <row r="109" spans="1:37" s="20" customFormat="1" ht="22.5" customHeight="1">
      <c r="A109" s="262"/>
      <c r="B109" s="271"/>
      <c r="C109" s="271"/>
      <c r="D109" s="258"/>
      <c r="E109" s="258"/>
      <c r="F109" s="258"/>
      <c r="G109" s="258"/>
      <c r="H109" s="250"/>
      <c r="I109" s="256"/>
      <c r="J109" s="250"/>
      <c r="K109" s="250"/>
      <c r="L109" s="250"/>
      <c r="M109" s="272"/>
      <c r="N109" s="250"/>
      <c r="O109" s="250"/>
      <c r="P109" s="250"/>
      <c r="Q109" s="250"/>
      <c r="R109" s="250"/>
      <c r="S109" s="250"/>
      <c r="T109" s="250"/>
      <c r="U109" s="67" t="s">
        <v>421</v>
      </c>
      <c r="V109" s="150"/>
      <c r="W109" s="150"/>
      <c r="X109" s="146" t="s">
        <v>2</v>
      </c>
      <c r="Y109" s="149">
        <v>10</v>
      </c>
      <c r="Z109" s="62">
        <v>4500000</v>
      </c>
      <c r="AA109" s="79"/>
      <c r="AB109" s="80">
        <v>1</v>
      </c>
      <c r="AC109" s="149">
        <f>Y109*Z109*AB109</f>
        <v>45000000</v>
      </c>
      <c r="AD109" s="250"/>
      <c r="AE109" s="251"/>
      <c r="AF109" s="31"/>
      <c r="AG109" s="29"/>
      <c r="AH109" s="29"/>
      <c r="AI109" s="29"/>
      <c r="AJ109" s="29"/>
      <c r="AK109" s="29"/>
    </row>
    <row r="110" spans="1:37" s="20" customFormat="1" ht="31.5">
      <c r="A110" s="262"/>
      <c r="B110" s="271"/>
      <c r="C110" s="271"/>
      <c r="D110" s="258"/>
      <c r="E110" s="258"/>
      <c r="F110" s="258"/>
      <c r="G110" s="258"/>
      <c r="H110" s="250"/>
      <c r="I110" s="256"/>
      <c r="J110" s="250"/>
      <c r="K110" s="250"/>
      <c r="L110" s="250"/>
      <c r="M110" s="272"/>
      <c r="N110" s="250"/>
      <c r="O110" s="250"/>
      <c r="P110" s="250"/>
      <c r="Q110" s="250"/>
      <c r="R110" s="250"/>
      <c r="S110" s="250"/>
      <c r="T110" s="250"/>
      <c r="U110" s="65" t="s">
        <v>527</v>
      </c>
      <c r="V110" s="150">
        <v>25</v>
      </c>
      <c r="W110" s="150">
        <f>(J108-Y116)/V110</f>
        <v>14.175999999999998</v>
      </c>
      <c r="X110" s="146" t="s">
        <v>2</v>
      </c>
      <c r="Y110" s="149">
        <v>8</v>
      </c>
      <c r="Z110" s="62"/>
      <c r="AA110" s="84"/>
      <c r="AB110" s="68"/>
      <c r="AC110" s="149"/>
      <c r="AD110" s="250"/>
      <c r="AE110" s="251"/>
      <c r="AF110" s="31"/>
      <c r="AG110" s="29"/>
      <c r="AH110" s="29"/>
      <c r="AI110" s="29"/>
      <c r="AJ110" s="29"/>
      <c r="AK110" s="29"/>
    </row>
    <row r="111" spans="1:37" s="20" customFormat="1" ht="21.75" customHeight="1">
      <c r="A111" s="262"/>
      <c r="B111" s="271"/>
      <c r="C111" s="271"/>
      <c r="D111" s="258"/>
      <c r="E111" s="258"/>
      <c r="F111" s="258"/>
      <c r="G111" s="258"/>
      <c r="H111" s="250"/>
      <c r="I111" s="256"/>
      <c r="J111" s="250"/>
      <c r="K111" s="250"/>
      <c r="L111" s="250"/>
      <c r="M111" s="272"/>
      <c r="N111" s="250"/>
      <c r="O111" s="250"/>
      <c r="P111" s="250"/>
      <c r="Q111" s="250"/>
      <c r="R111" s="250"/>
      <c r="S111" s="250"/>
      <c r="T111" s="250"/>
      <c r="U111" s="67" t="s">
        <v>421</v>
      </c>
      <c r="V111" s="150"/>
      <c r="W111" s="150"/>
      <c r="X111" s="146" t="s">
        <v>2</v>
      </c>
      <c r="Y111" s="149">
        <v>8</v>
      </c>
      <c r="Z111" s="62">
        <v>1000000</v>
      </c>
      <c r="AA111" s="79"/>
      <c r="AB111" s="80">
        <v>0.5</v>
      </c>
      <c r="AC111" s="149">
        <f t="shared" ref="AC111" si="16">Y111*Z111*AB111</f>
        <v>4000000</v>
      </c>
      <c r="AD111" s="250"/>
      <c r="AE111" s="251"/>
      <c r="AF111" s="31"/>
      <c r="AG111" s="29"/>
      <c r="AH111" s="29"/>
      <c r="AI111" s="29"/>
      <c r="AJ111" s="29"/>
      <c r="AK111" s="29"/>
    </row>
    <row r="112" spans="1:37" s="20" customFormat="1" ht="35.25" customHeight="1">
      <c r="A112" s="262"/>
      <c r="B112" s="271"/>
      <c r="C112" s="271"/>
      <c r="D112" s="258"/>
      <c r="E112" s="258"/>
      <c r="F112" s="258"/>
      <c r="G112" s="258"/>
      <c r="H112" s="250"/>
      <c r="I112" s="256"/>
      <c r="J112" s="250"/>
      <c r="K112" s="250"/>
      <c r="L112" s="250"/>
      <c r="M112" s="272"/>
      <c r="N112" s="250"/>
      <c r="O112" s="250"/>
      <c r="P112" s="250"/>
      <c r="Q112" s="250"/>
      <c r="R112" s="250"/>
      <c r="S112" s="250"/>
      <c r="T112" s="250"/>
      <c r="U112" s="65" t="s">
        <v>533</v>
      </c>
      <c r="V112" s="150">
        <v>10</v>
      </c>
      <c r="W112" s="150">
        <f>(J108-Y116)/V112</f>
        <v>35.44</v>
      </c>
      <c r="X112" s="146" t="s">
        <v>2</v>
      </c>
      <c r="Y112" s="149">
        <v>2</v>
      </c>
      <c r="Z112" s="62"/>
      <c r="AA112" s="79"/>
      <c r="AB112" s="80"/>
      <c r="AC112" s="149"/>
      <c r="AD112" s="250"/>
      <c r="AE112" s="251"/>
      <c r="AF112" s="31"/>
      <c r="AG112" s="29"/>
      <c r="AH112" s="29"/>
      <c r="AI112" s="29"/>
      <c r="AJ112" s="29"/>
      <c r="AK112" s="29"/>
    </row>
    <row r="113" spans="1:37" s="20" customFormat="1" ht="23.25" customHeight="1">
      <c r="A113" s="262"/>
      <c r="B113" s="271"/>
      <c r="C113" s="271"/>
      <c r="D113" s="258"/>
      <c r="E113" s="258"/>
      <c r="F113" s="258"/>
      <c r="G113" s="258"/>
      <c r="H113" s="250"/>
      <c r="I113" s="256"/>
      <c r="J113" s="250"/>
      <c r="K113" s="250"/>
      <c r="L113" s="250"/>
      <c r="M113" s="272"/>
      <c r="N113" s="250"/>
      <c r="O113" s="250"/>
      <c r="P113" s="250"/>
      <c r="Q113" s="250"/>
      <c r="R113" s="250"/>
      <c r="S113" s="250"/>
      <c r="T113" s="250"/>
      <c r="U113" s="67" t="s">
        <v>421</v>
      </c>
      <c r="V113" s="150"/>
      <c r="W113" s="150"/>
      <c r="X113" s="146" t="s">
        <v>2</v>
      </c>
      <c r="Y113" s="149">
        <v>2</v>
      </c>
      <c r="Z113" s="62">
        <v>200000</v>
      </c>
      <c r="AA113" s="79"/>
      <c r="AB113" s="80">
        <v>0.5</v>
      </c>
      <c r="AC113" s="149">
        <f t="shared" ref="AC113" si="17">Y113*Z113*AB113</f>
        <v>200000</v>
      </c>
      <c r="AD113" s="250"/>
      <c r="AE113" s="251"/>
      <c r="AF113" s="31"/>
      <c r="AG113" s="29"/>
      <c r="AH113" s="29"/>
      <c r="AI113" s="29"/>
      <c r="AJ113" s="29"/>
      <c r="AK113" s="29"/>
    </row>
    <row r="114" spans="1:37" s="20" customFormat="1" ht="31.5">
      <c r="A114" s="262"/>
      <c r="B114" s="271"/>
      <c r="C114" s="271"/>
      <c r="D114" s="258"/>
      <c r="E114" s="258"/>
      <c r="F114" s="258"/>
      <c r="G114" s="258"/>
      <c r="H114" s="250"/>
      <c r="I114" s="256"/>
      <c r="J114" s="250"/>
      <c r="K114" s="250"/>
      <c r="L114" s="250"/>
      <c r="M114" s="272"/>
      <c r="N114" s="250"/>
      <c r="O114" s="250"/>
      <c r="P114" s="250"/>
      <c r="Q114" s="250"/>
      <c r="R114" s="250"/>
      <c r="S114" s="250"/>
      <c r="T114" s="250"/>
      <c r="U114" s="65" t="s">
        <v>534</v>
      </c>
      <c r="V114" s="150">
        <v>28.57</v>
      </c>
      <c r="W114" s="150">
        <f>(J108-Y116)/V114</f>
        <v>12.404620231011549</v>
      </c>
      <c r="X114" s="146" t="s">
        <v>2</v>
      </c>
      <c r="Y114" s="149">
        <v>2</v>
      </c>
      <c r="Z114" s="62"/>
      <c r="AA114" s="84"/>
      <c r="AB114" s="68"/>
      <c r="AC114" s="149"/>
      <c r="AD114" s="250"/>
      <c r="AE114" s="251"/>
      <c r="AF114" s="31"/>
      <c r="AG114" s="29"/>
      <c r="AH114" s="29"/>
      <c r="AI114" s="29"/>
      <c r="AJ114" s="29"/>
      <c r="AK114" s="29"/>
    </row>
    <row r="115" spans="1:37" s="20" customFormat="1" ht="21" customHeight="1">
      <c r="A115" s="262"/>
      <c r="B115" s="271"/>
      <c r="C115" s="271"/>
      <c r="D115" s="258"/>
      <c r="E115" s="258"/>
      <c r="F115" s="258"/>
      <c r="G115" s="258"/>
      <c r="H115" s="250"/>
      <c r="I115" s="256"/>
      <c r="J115" s="250"/>
      <c r="K115" s="250"/>
      <c r="L115" s="250"/>
      <c r="M115" s="272"/>
      <c r="N115" s="250"/>
      <c r="O115" s="250"/>
      <c r="P115" s="250"/>
      <c r="Q115" s="250"/>
      <c r="R115" s="250"/>
      <c r="S115" s="250"/>
      <c r="T115" s="250"/>
      <c r="U115" s="67" t="s">
        <v>421</v>
      </c>
      <c r="V115" s="150"/>
      <c r="W115" s="150"/>
      <c r="X115" s="146" t="s">
        <v>2</v>
      </c>
      <c r="Y115" s="149">
        <v>2</v>
      </c>
      <c r="Z115" s="62">
        <v>850000</v>
      </c>
      <c r="AA115" s="79"/>
      <c r="AB115" s="80">
        <v>0.5</v>
      </c>
      <c r="AC115" s="149">
        <f t="shared" ref="AC115" si="18">Y115*Z115*AB115</f>
        <v>850000</v>
      </c>
      <c r="AD115" s="250"/>
      <c r="AE115" s="251"/>
      <c r="AF115" s="31"/>
      <c r="AG115" s="29"/>
      <c r="AH115" s="29"/>
      <c r="AI115" s="29"/>
      <c r="AJ115" s="29"/>
      <c r="AK115" s="29"/>
    </row>
    <row r="116" spans="1:37" s="20" customFormat="1" ht="21" customHeight="1">
      <c r="A116" s="262"/>
      <c r="B116" s="271"/>
      <c r="C116" s="271"/>
      <c r="D116" s="258"/>
      <c r="E116" s="258"/>
      <c r="F116" s="258"/>
      <c r="G116" s="258"/>
      <c r="H116" s="250"/>
      <c r="I116" s="256"/>
      <c r="J116" s="250"/>
      <c r="K116" s="250"/>
      <c r="L116" s="250"/>
      <c r="M116" s="272"/>
      <c r="N116" s="250"/>
      <c r="O116" s="250"/>
      <c r="P116" s="250"/>
      <c r="Q116" s="250"/>
      <c r="R116" s="250"/>
      <c r="S116" s="250"/>
      <c r="T116" s="250"/>
      <c r="U116" s="144" t="s">
        <v>535</v>
      </c>
      <c r="V116" s="150"/>
      <c r="W116" s="150"/>
      <c r="X116" s="146" t="s">
        <v>0</v>
      </c>
      <c r="Y116" s="147">
        <v>5.6</v>
      </c>
      <c r="Z116" s="62"/>
      <c r="AA116" s="79"/>
      <c r="AB116" s="80"/>
      <c r="AC116" s="149"/>
      <c r="AD116" s="250"/>
      <c r="AE116" s="251"/>
      <c r="AF116" s="31"/>
      <c r="AG116" s="29"/>
      <c r="AH116" s="29"/>
      <c r="AI116" s="29"/>
      <c r="AJ116" s="29"/>
      <c r="AK116" s="29"/>
    </row>
    <row r="117" spans="1:37" s="20" customFormat="1" ht="58.5" customHeight="1">
      <c r="A117" s="262"/>
      <c r="B117" s="271"/>
      <c r="C117" s="271"/>
      <c r="D117" s="258"/>
      <c r="E117" s="258"/>
      <c r="F117" s="258"/>
      <c r="G117" s="258"/>
      <c r="H117" s="250"/>
      <c r="I117" s="256"/>
      <c r="J117" s="250"/>
      <c r="K117" s="250"/>
      <c r="L117" s="250"/>
      <c r="M117" s="272"/>
      <c r="N117" s="250"/>
      <c r="O117" s="250"/>
      <c r="P117" s="250"/>
      <c r="Q117" s="250"/>
      <c r="R117" s="250"/>
      <c r="S117" s="250"/>
      <c r="T117" s="250"/>
      <c r="U117" s="144" t="s">
        <v>536</v>
      </c>
      <c r="V117" s="150"/>
      <c r="W117" s="150"/>
      <c r="X117" s="146" t="s">
        <v>6</v>
      </c>
      <c r="Y117" s="149">
        <v>4.2</v>
      </c>
      <c r="Z117" s="62"/>
      <c r="AA117" s="79"/>
      <c r="AB117" s="80"/>
      <c r="AC117" s="149"/>
      <c r="AD117" s="250"/>
      <c r="AE117" s="251"/>
      <c r="AF117" s="31"/>
      <c r="AG117" s="29"/>
      <c r="AH117" s="29"/>
      <c r="AI117" s="29"/>
      <c r="AJ117" s="29"/>
      <c r="AK117" s="29"/>
    </row>
    <row r="118" spans="1:37" s="20" customFormat="1" ht="48.75" customHeight="1">
      <c r="A118" s="262"/>
      <c r="B118" s="271"/>
      <c r="C118" s="271"/>
      <c r="D118" s="258"/>
      <c r="E118" s="258"/>
      <c r="F118" s="258"/>
      <c r="G118" s="258"/>
      <c r="H118" s="250"/>
      <c r="I118" s="256"/>
      <c r="J118" s="250"/>
      <c r="K118" s="250"/>
      <c r="L118" s="250"/>
      <c r="M118" s="272"/>
      <c r="N118" s="250"/>
      <c r="O118" s="250"/>
      <c r="P118" s="250"/>
      <c r="Q118" s="250"/>
      <c r="R118" s="250"/>
      <c r="S118" s="250"/>
      <c r="T118" s="250"/>
      <c r="U118" s="145" t="s">
        <v>537</v>
      </c>
      <c r="V118" s="101"/>
      <c r="W118" s="101"/>
      <c r="X118" s="146" t="s">
        <v>6</v>
      </c>
      <c r="Y118" s="101">
        <v>11</v>
      </c>
      <c r="Z118" s="100"/>
      <c r="AA118" s="84"/>
      <c r="AB118" s="146"/>
      <c r="AC118" s="149"/>
      <c r="AD118" s="250"/>
      <c r="AE118" s="251"/>
      <c r="AF118" s="31"/>
      <c r="AG118" s="29"/>
      <c r="AH118" s="29"/>
      <c r="AI118" s="29"/>
      <c r="AJ118" s="29"/>
      <c r="AK118" s="29"/>
    </row>
    <row r="119" spans="1:37" s="20" customFormat="1" ht="31.5" customHeight="1">
      <c r="A119" s="262">
        <v>15</v>
      </c>
      <c r="B119" s="271" t="s">
        <v>404</v>
      </c>
      <c r="C119" s="271" t="s">
        <v>412</v>
      </c>
      <c r="D119" s="258">
        <v>64</v>
      </c>
      <c r="E119" s="258">
        <v>482</v>
      </c>
      <c r="F119" s="258">
        <v>179.9</v>
      </c>
      <c r="G119" s="258" t="s">
        <v>28</v>
      </c>
      <c r="H119" s="250">
        <v>180</v>
      </c>
      <c r="I119" s="256">
        <f>F119-H119</f>
        <v>-9.9999999999994316E-2</v>
      </c>
      <c r="J119" s="250">
        <v>180</v>
      </c>
      <c r="K119" s="250">
        <v>702</v>
      </c>
      <c r="L119" s="250">
        <v>450</v>
      </c>
      <c r="M119" s="272">
        <f>J119/K119*100</f>
        <v>25.641025641025639</v>
      </c>
      <c r="N119" s="250">
        <v>5</v>
      </c>
      <c r="O119" s="250">
        <v>2</v>
      </c>
      <c r="P119" s="250">
        <v>80000</v>
      </c>
      <c r="Q119" s="250">
        <f>P119*J119</f>
        <v>14400000</v>
      </c>
      <c r="R119" s="250">
        <f>Q119*3</f>
        <v>43200000</v>
      </c>
      <c r="S119" s="250">
        <f>N119*O119*17000*30</f>
        <v>5100000</v>
      </c>
      <c r="T119" s="250">
        <f>SUM(Q119:S122)</f>
        <v>62700000</v>
      </c>
      <c r="U119" s="65" t="s">
        <v>545</v>
      </c>
      <c r="V119" s="150">
        <v>25</v>
      </c>
      <c r="W119" s="150">
        <f>J119/V119</f>
        <v>7.2</v>
      </c>
      <c r="X119" s="146" t="s">
        <v>2</v>
      </c>
      <c r="Y119" s="149">
        <v>7</v>
      </c>
      <c r="Z119" s="62"/>
      <c r="AA119" s="84"/>
      <c r="AB119" s="68"/>
      <c r="AC119" s="149"/>
      <c r="AD119" s="250">
        <f>SUM(AC119:AC122)</f>
        <v>27370000</v>
      </c>
      <c r="AE119" s="251">
        <f>T119+AD119</f>
        <v>90070000</v>
      </c>
      <c r="AF119" s="31" t="s">
        <v>546</v>
      </c>
      <c r="AG119" s="29"/>
      <c r="AH119" s="29"/>
      <c r="AI119" s="29"/>
      <c r="AJ119" s="29"/>
      <c r="AK119" s="29"/>
    </row>
    <row r="120" spans="1:37" s="20" customFormat="1" ht="22.5" customHeight="1">
      <c r="A120" s="262"/>
      <c r="B120" s="271"/>
      <c r="C120" s="271"/>
      <c r="D120" s="258"/>
      <c r="E120" s="258"/>
      <c r="F120" s="258"/>
      <c r="G120" s="258"/>
      <c r="H120" s="250"/>
      <c r="I120" s="256"/>
      <c r="J120" s="250"/>
      <c r="K120" s="250"/>
      <c r="L120" s="250"/>
      <c r="M120" s="272"/>
      <c r="N120" s="250"/>
      <c r="O120" s="250"/>
      <c r="P120" s="250"/>
      <c r="Q120" s="250"/>
      <c r="R120" s="250"/>
      <c r="S120" s="250"/>
      <c r="T120" s="250"/>
      <c r="U120" s="67" t="s">
        <v>421</v>
      </c>
      <c r="V120" s="150"/>
      <c r="W120" s="150"/>
      <c r="X120" s="146" t="s">
        <v>2</v>
      </c>
      <c r="Y120" s="149">
        <v>7</v>
      </c>
      <c r="Z120" s="62">
        <v>3850000</v>
      </c>
      <c r="AA120" s="79"/>
      <c r="AB120" s="80">
        <v>1</v>
      </c>
      <c r="AC120" s="149">
        <f t="shared" ref="AC120" si="19">Y120*Z120*AB120</f>
        <v>26950000</v>
      </c>
      <c r="AD120" s="250"/>
      <c r="AE120" s="251"/>
      <c r="AF120" s="31"/>
      <c r="AG120" s="29"/>
      <c r="AH120" s="29"/>
      <c r="AI120" s="29"/>
      <c r="AJ120" s="29"/>
      <c r="AK120" s="29"/>
    </row>
    <row r="121" spans="1:37" s="20" customFormat="1" ht="31.5">
      <c r="A121" s="262"/>
      <c r="B121" s="271"/>
      <c r="C121" s="271"/>
      <c r="D121" s="258"/>
      <c r="E121" s="258"/>
      <c r="F121" s="258"/>
      <c r="G121" s="258"/>
      <c r="H121" s="250"/>
      <c r="I121" s="256"/>
      <c r="J121" s="250"/>
      <c r="K121" s="250"/>
      <c r="L121" s="250"/>
      <c r="M121" s="272"/>
      <c r="N121" s="250"/>
      <c r="O121" s="250"/>
      <c r="P121" s="250"/>
      <c r="Q121" s="250"/>
      <c r="R121" s="250"/>
      <c r="S121" s="250"/>
      <c r="T121" s="250"/>
      <c r="U121" s="65" t="s">
        <v>547</v>
      </c>
      <c r="V121" s="150">
        <v>10</v>
      </c>
      <c r="W121" s="150">
        <f>J119/V121</f>
        <v>18</v>
      </c>
      <c r="X121" s="146" t="s">
        <v>396</v>
      </c>
      <c r="Y121" s="149">
        <v>10</v>
      </c>
      <c r="Z121" s="62"/>
      <c r="AA121" s="84"/>
      <c r="AB121" s="68"/>
      <c r="AC121" s="149"/>
      <c r="AD121" s="250"/>
      <c r="AE121" s="251"/>
      <c r="AF121" s="31"/>
      <c r="AG121" s="29"/>
      <c r="AH121" s="29"/>
      <c r="AI121" s="29"/>
      <c r="AJ121" s="29"/>
      <c r="AK121" s="29"/>
    </row>
    <row r="122" spans="1:37" s="20" customFormat="1" ht="21" customHeight="1">
      <c r="A122" s="262"/>
      <c r="B122" s="271"/>
      <c r="C122" s="271"/>
      <c r="D122" s="258"/>
      <c r="E122" s="258"/>
      <c r="F122" s="258"/>
      <c r="G122" s="258"/>
      <c r="H122" s="250"/>
      <c r="I122" s="256"/>
      <c r="J122" s="250"/>
      <c r="K122" s="250"/>
      <c r="L122" s="250"/>
      <c r="M122" s="272"/>
      <c r="N122" s="250"/>
      <c r="O122" s="250"/>
      <c r="P122" s="250"/>
      <c r="Q122" s="250"/>
      <c r="R122" s="250"/>
      <c r="S122" s="250"/>
      <c r="T122" s="250"/>
      <c r="U122" s="67" t="s">
        <v>421</v>
      </c>
      <c r="V122" s="150"/>
      <c r="W122" s="150"/>
      <c r="X122" s="146" t="s">
        <v>396</v>
      </c>
      <c r="Y122" s="149">
        <v>10</v>
      </c>
      <c r="Z122" s="62">
        <v>140000</v>
      </c>
      <c r="AA122" s="84"/>
      <c r="AB122" s="68">
        <v>0.3</v>
      </c>
      <c r="AC122" s="149">
        <f>Y122*Z122*AB122</f>
        <v>420000</v>
      </c>
      <c r="AD122" s="250"/>
      <c r="AE122" s="251"/>
      <c r="AF122" s="31"/>
      <c r="AG122" s="29"/>
      <c r="AH122" s="29"/>
      <c r="AI122" s="29"/>
      <c r="AJ122" s="29"/>
      <c r="AK122" s="29"/>
    </row>
    <row r="123" spans="1:37" s="20" customFormat="1" ht="33.75" customHeight="1">
      <c r="A123" s="262">
        <v>16</v>
      </c>
      <c r="B123" s="271" t="s">
        <v>405</v>
      </c>
      <c r="C123" s="271" t="s">
        <v>412</v>
      </c>
      <c r="D123" s="258">
        <v>64</v>
      </c>
      <c r="E123" s="258">
        <v>496</v>
      </c>
      <c r="F123" s="258">
        <v>1459.3</v>
      </c>
      <c r="G123" s="258" t="s">
        <v>28</v>
      </c>
      <c r="H123" s="250">
        <v>1444.5</v>
      </c>
      <c r="I123" s="256">
        <f>F123-H123</f>
        <v>14.799999999999955</v>
      </c>
      <c r="J123" s="250">
        <v>1444.5</v>
      </c>
      <c r="K123" s="250">
        <v>1800</v>
      </c>
      <c r="L123" s="250">
        <v>450</v>
      </c>
      <c r="M123" s="272">
        <f>J123/K123*100</f>
        <v>80.25</v>
      </c>
      <c r="N123" s="250">
        <v>12</v>
      </c>
      <c r="O123" s="250">
        <v>10</v>
      </c>
      <c r="P123" s="250">
        <v>80000</v>
      </c>
      <c r="Q123" s="250">
        <f>P123*J123</f>
        <v>115560000</v>
      </c>
      <c r="R123" s="250">
        <f>Q123*3</f>
        <v>346680000</v>
      </c>
      <c r="S123" s="250">
        <f>N123*O123*17000*30</f>
        <v>61200000</v>
      </c>
      <c r="T123" s="250">
        <f>SUM(Q123:S139)</f>
        <v>523440000</v>
      </c>
      <c r="U123" s="65" t="s">
        <v>457</v>
      </c>
      <c r="V123" s="150">
        <v>25</v>
      </c>
      <c r="W123" s="150">
        <f>(J123-12)/V123</f>
        <v>57.3</v>
      </c>
      <c r="X123" s="146" t="s">
        <v>2</v>
      </c>
      <c r="Y123" s="149">
        <v>29</v>
      </c>
      <c r="Z123" s="62"/>
      <c r="AA123" s="79"/>
      <c r="AB123" s="80"/>
      <c r="AC123" s="149"/>
      <c r="AD123" s="250">
        <f>SUM(AC123:AC139)</f>
        <v>250705000</v>
      </c>
      <c r="AE123" s="251">
        <f>T123+AD123</f>
        <v>774145000</v>
      </c>
      <c r="AF123" s="31" t="s">
        <v>448</v>
      </c>
      <c r="AG123" s="29"/>
      <c r="AH123" s="29"/>
      <c r="AI123" s="29"/>
      <c r="AJ123" s="29"/>
      <c r="AK123" s="29"/>
    </row>
    <row r="124" spans="1:37" s="20" customFormat="1" ht="21" customHeight="1">
      <c r="A124" s="262"/>
      <c r="B124" s="271"/>
      <c r="C124" s="271"/>
      <c r="D124" s="258"/>
      <c r="E124" s="258"/>
      <c r="F124" s="258"/>
      <c r="G124" s="258"/>
      <c r="H124" s="250"/>
      <c r="I124" s="256"/>
      <c r="J124" s="250"/>
      <c r="K124" s="250"/>
      <c r="L124" s="250"/>
      <c r="M124" s="272"/>
      <c r="N124" s="250"/>
      <c r="O124" s="250"/>
      <c r="P124" s="250"/>
      <c r="Q124" s="250"/>
      <c r="R124" s="250"/>
      <c r="S124" s="250"/>
      <c r="T124" s="250"/>
      <c r="U124" s="67" t="s">
        <v>421</v>
      </c>
      <c r="V124" s="150"/>
      <c r="W124" s="150"/>
      <c r="X124" s="146" t="s">
        <v>2</v>
      </c>
      <c r="Y124" s="149">
        <v>29</v>
      </c>
      <c r="Z124" s="62">
        <v>4500000</v>
      </c>
      <c r="AA124" s="79"/>
      <c r="AB124" s="80">
        <v>1</v>
      </c>
      <c r="AC124" s="149">
        <f>Y124*Z124*AB124</f>
        <v>130500000</v>
      </c>
      <c r="AD124" s="250"/>
      <c r="AE124" s="251"/>
      <c r="AF124" s="31"/>
      <c r="AG124" s="29"/>
      <c r="AH124" s="29"/>
      <c r="AI124" s="29"/>
      <c r="AJ124" s="29"/>
      <c r="AK124" s="29"/>
    </row>
    <row r="125" spans="1:37" s="20" customFormat="1" ht="31.5">
      <c r="A125" s="262"/>
      <c r="B125" s="271"/>
      <c r="C125" s="271"/>
      <c r="D125" s="258"/>
      <c r="E125" s="258"/>
      <c r="F125" s="258"/>
      <c r="G125" s="258"/>
      <c r="H125" s="250"/>
      <c r="I125" s="256"/>
      <c r="J125" s="250"/>
      <c r="K125" s="250"/>
      <c r="L125" s="250"/>
      <c r="M125" s="272"/>
      <c r="N125" s="250"/>
      <c r="O125" s="250"/>
      <c r="P125" s="250"/>
      <c r="Q125" s="250"/>
      <c r="R125" s="250"/>
      <c r="S125" s="250"/>
      <c r="T125" s="250"/>
      <c r="U125" s="65" t="s">
        <v>643</v>
      </c>
      <c r="V125" s="150"/>
      <c r="W125" s="150"/>
      <c r="X125" s="146" t="s">
        <v>2</v>
      </c>
      <c r="Y125" s="149">
        <v>30</v>
      </c>
      <c r="Z125" s="62"/>
      <c r="AA125" s="84"/>
      <c r="AB125" s="68"/>
      <c r="AC125" s="149"/>
      <c r="AD125" s="250"/>
      <c r="AE125" s="251"/>
      <c r="AF125" s="31"/>
      <c r="AG125" s="29"/>
      <c r="AH125" s="29"/>
      <c r="AI125" s="29"/>
      <c r="AJ125" s="29"/>
      <c r="AK125" s="29"/>
    </row>
    <row r="126" spans="1:37" s="20" customFormat="1" ht="21" customHeight="1">
      <c r="A126" s="262"/>
      <c r="B126" s="271"/>
      <c r="C126" s="271"/>
      <c r="D126" s="258"/>
      <c r="E126" s="258"/>
      <c r="F126" s="258"/>
      <c r="G126" s="258"/>
      <c r="H126" s="250"/>
      <c r="I126" s="256"/>
      <c r="J126" s="250"/>
      <c r="K126" s="250"/>
      <c r="L126" s="250"/>
      <c r="M126" s="272"/>
      <c r="N126" s="250"/>
      <c r="O126" s="250"/>
      <c r="P126" s="250"/>
      <c r="Q126" s="250"/>
      <c r="R126" s="250"/>
      <c r="S126" s="250"/>
      <c r="T126" s="250"/>
      <c r="U126" s="67" t="s">
        <v>421</v>
      </c>
      <c r="V126" s="150"/>
      <c r="W126" s="150"/>
      <c r="X126" s="146" t="s">
        <v>2</v>
      </c>
      <c r="Y126" s="149">
        <v>28</v>
      </c>
      <c r="Z126" s="62">
        <v>3850000</v>
      </c>
      <c r="AA126" s="79"/>
      <c r="AB126" s="80">
        <v>1</v>
      </c>
      <c r="AC126" s="149">
        <f t="shared" ref="AC126:AC128" si="20">Y126*Z126*AB126</f>
        <v>107800000</v>
      </c>
      <c r="AD126" s="250"/>
      <c r="AE126" s="251"/>
      <c r="AF126" s="31"/>
      <c r="AG126" s="29"/>
      <c r="AH126" s="29"/>
      <c r="AI126" s="29"/>
      <c r="AJ126" s="29"/>
      <c r="AK126" s="29"/>
    </row>
    <row r="127" spans="1:37" s="20" customFormat="1" ht="21" customHeight="1">
      <c r="A127" s="262"/>
      <c r="B127" s="271"/>
      <c r="C127" s="271"/>
      <c r="D127" s="258"/>
      <c r="E127" s="258"/>
      <c r="F127" s="258"/>
      <c r="G127" s="258"/>
      <c r="H127" s="250"/>
      <c r="I127" s="256"/>
      <c r="J127" s="250"/>
      <c r="K127" s="250"/>
      <c r="L127" s="250"/>
      <c r="M127" s="272"/>
      <c r="N127" s="250"/>
      <c r="O127" s="250"/>
      <c r="P127" s="250"/>
      <c r="Q127" s="250"/>
      <c r="R127" s="250"/>
      <c r="S127" s="250"/>
      <c r="T127" s="250"/>
      <c r="U127" s="67" t="s">
        <v>423</v>
      </c>
      <c r="V127" s="150"/>
      <c r="W127" s="150">
        <f>0.3*2</f>
        <v>0.6</v>
      </c>
      <c r="X127" s="146" t="s">
        <v>2</v>
      </c>
      <c r="Y127" s="149">
        <v>1</v>
      </c>
      <c r="Z127" s="62">
        <v>3850000</v>
      </c>
      <c r="AA127" s="79"/>
      <c r="AB127" s="80">
        <v>0.3</v>
      </c>
      <c r="AC127" s="149">
        <f t="shared" si="20"/>
        <v>1155000</v>
      </c>
      <c r="AD127" s="250"/>
      <c r="AE127" s="251"/>
      <c r="AF127" s="31"/>
      <c r="AG127" s="29"/>
      <c r="AH127" s="29"/>
      <c r="AI127" s="29"/>
      <c r="AJ127" s="29"/>
      <c r="AK127" s="29"/>
    </row>
    <row r="128" spans="1:37" s="20" customFormat="1" ht="21" customHeight="1">
      <c r="A128" s="262"/>
      <c r="B128" s="271"/>
      <c r="C128" s="271"/>
      <c r="D128" s="258"/>
      <c r="E128" s="258"/>
      <c r="F128" s="258"/>
      <c r="G128" s="258"/>
      <c r="H128" s="250"/>
      <c r="I128" s="256"/>
      <c r="J128" s="250"/>
      <c r="K128" s="250"/>
      <c r="L128" s="250"/>
      <c r="M128" s="272"/>
      <c r="N128" s="250"/>
      <c r="O128" s="250"/>
      <c r="P128" s="250"/>
      <c r="Q128" s="250"/>
      <c r="R128" s="250"/>
      <c r="S128" s="250"/>
      <c r="T128" s="250"/>
      <c r="U128" s="67" t="s">
        <v>424</v>
      </c>
      <c r="V128" s="150"/>
      <c r="W128" s="150"/>
      <c r="X128" s="146" t="s">
        <v>2</v>
      </c>
      <c r="Y128" s="149">
        <v>1</v>
      </c>
      <c r="Z128" s="62">
        <v>3850000</v>
      </c>
      <c r="AA128" s="79"/>
      <c r="AB128" s="80">
        <v>0</v>
      </c>
      <c r="AC128" s="149">
        <f t="shared" si="20"/>
        <v>0</v>
      </c>
      <c r="AD128" s="250"/>
      <c r="AE128" s="251"/>
      <c r="AF128" s="31"/>
      <c r="AG128" s="29"/>
      <c r="AH128" s="29"/>
      <c r="AI128" s="29"/>
      <c r="AJ128" s="29"/>
      <c r="AK128" s="29"/>
    </row>
    <row r="129" spans="1:37" s="20" customFormat="1" ht="31.5">
      <c r="A129" s="262"/>
      <c r="B129" s="271"/>
      <c r="C129" s="271"/>
      <c r="D129" s="258"/>
      <c r="E129" s="258"/>
      <c r="F129" s="258"/>
      <c r="G129" s="258"/>
      <c r="H129" s="250"/>
      <c r="I129" s="256"/>
      <c r="J129" s="250"/>
      <c r="K129" s="250"/>
      <c r="L129" s="250"/>
      <c r="M129" s="272"/>
      <c r="N129" s="250"/>
      <c r="O129" s="250"/>
      <c r="P129" s="250"/>
      <c r="Q129" s="250"/>
      <c r="R129" s="250"/>
      <c r="S129" s="250"/>
      <c r="T129" s="250"/>
      <c r="U129" s="65" t="s">
        <v>468</v>
      </c>
      <c r="V129" s="150">
        <v>20</v>
      </c>
      <c r="W129" s="150">
        <f>(J123-12)/V129</f>
        <v>71.625</v>
      </c>
      <c r="X129" s="146" t="s">
        <v>2</v>
      </c>
      <c r="Y129" s="149">
        <v>15</v>
      </c>
      <c r="Z129" s="62"/>
      <c r="AA129" s="79"/>
      <c r="AB129" s="80"/>
      <c r="AC129" s="149"/>
      <c r="AD129" s="250"/>
      <c r="AE129" s="251"/>
      <c r="AF129" s="31"/>
      <c r="AG129" s="29"/>
      <c r="AH129" s="29"/>
      <c r="AI129" s="29"/>
      <c r="AJ129" s="29"/>
      <c r="AK129" s="29"/>
    </row>
    <row r="130" spans="1:37" s="20" customFormat="1" ht="40.5" customHeight="1">
      <c r="A130" s="262"/>
      <c r="B130" s="271"/>
      <c r="C130" s="271"/>
      <c r="D130" s="258"/>
      <c r="E130" s="258"/>
      <c r="F130" s="258"/>
      <c r="G130" s="258"/>
      <c r="H130" s="250"/>
      <c r="I130" s="256"/>
      <c r="J130" s="250"/>
      <c r="K130" s="250"/>
      <c r="L130" s="250"/>
      <c r="M130" s="272"/>
      <c r="N130" s="250"/>
      <c r="O130" s="250"/>
      <c r="P130" s="250"/>
      <c r="Q130" s="250"/>
      <c r="R130" s="250"/>
      <c r="S130" s="250"/>
      <c r="T130" s="250"/>
      <c r="U130" s="67" t="s">
        <v>497</v>
      </c>
      <c r="V130" s="150"/>
      <c r="W130" s="150">
        <f>0.3*W129</f>
        <v>21.487500000000001</v>
      </c>
      <c r="X130" s="146" t="s">
        <v>2</v>
      </c>
      <c r="Y130" s="149">
        <v>15</v>
      </c>
      <c r="Z130" s="62">
        <v>2500000</v>
      </c>
      <c r="AA130" s="79"/>
      <c r="AB130" s="80">
        <v>0.3</v>
      </c>
      <c r="AC130" s="149">
        <f>Y130*Z130*AB130</f>
        <v>11250000</v>
      </c>
      <c r="AD130" s="250"/>
      <c r="AE130" s="251"/>
      <c r="AF130" s="31"/>
      <c r="AG130" s="29"/>
      <c r="AH130" s="29"/>
      <c r="AI130" s="29"/>
      <c r="AJ130" s="29"/>
      <c r="AK130" s="29"/>
    </row>
    <row r="131" spans="1:37" s="20" customFormat="1" ht="31.5">
      <c r="A131" s="262"/>
      <c r="B131" s="271"/>
      <c r="C131" s="271"/>
      <c r="D131" s="258"/>
      <c r="E131" s="258"/>
      <c r="F131" s="258"/>
      <c r="G131" s="258"/>
      <c r="H131" s="250"/>
      <c r="I131" s="256"/>
      <c r="J131" s="250"/>
      <c r="K131" s="250"/>
      <c r="L131" s="250"/>
      <c r="M131" s="272"/>
      <c r="N131" s="250"/>
      <c r="O131" s="250"/>
      <c r="P131" s="250"/>
      <c r="Q131" s="250"/>
      <c r="R131" s="250"/>
      <c r="S131" s="250"/>
      <c r="T131" s="250"/>
      <c r="U131" s="65" t="s">
        <v>488</v>
      </c>
      <c r="V131" s="150">
        <v>4</v>
      </c>
      <c r="W131" s="150">
        <f>J123/V131</f>
        <v>361.125</v>
      </c>
      <c r="X131" s="146" t="s">
        <v>396</v>
      </c>
      <c r="Y131" s="149">
        <v>70</v>
      </c>
      <c r="Z131" s="62"/>
      <c r="AA131" s="84"/>
      <c r="AB131" s="68"/>
      <c r="AC131" s="149"/>
      <c r="AD131" s="250"/>
      <c r="AE131" s="251"/>
      <c r="AF131" s="31"/>
      <c r="AG131" s="29"/>
      <c r="AH131" s="29"/>
      <c r="AI131" s="29"/>
      <c r="AJ131" s="29"/>
      <c r="AK131" s="29"/>
    </row>
    <row r="132" spans="1:37" s="20" customFormat="1" ht="21" customHeight="1">
      <c r="A132" s="262"/>
      <c r="B132" s="271"/>
      <c r="C132" s="271"/>
      <c r="D132" s="258"/>
      <c r="E132" s="258"/>
      <c r="F132" s="258"/>
      <c r="G132" s="258"/>
      <c r="H132" s="250"/>
      <c r="I132" s="256"/>
      <c r="J132" s="250"/>
      <c r="K132" s="250"/>
      <c r="L132" s="250"/>
      <c r="M132" s="272"/>
      <c r="N132" s="250"/>
      <c r="O132" s="250"/>
      <c r="P132" s="250"/>
      <c r="Q132" s="250"/>
      <c r="R132" s="250"/>
      <c r="S132" s="250"/>
      <c r="T132" s="250"/>
      <c r="U132" s="67" t="s">
        <v>486</v>
      </c>
      <c r="V132" s="150"/>
      <c r="W132" s="150">
        <f>0.3*W131</f>
        <v>108.33749999999999</v>
      </c>
      <c r="X132" s="146" t="s">
        <v>396</v>
      </c>
      <c r="Y132" s="149">
        <v>70</v>
      </c>
      <c r="Z132" s="62">
        <v>200000</v>
      </c>
      <c r="AA132" s="84"/>
      <c r="AB132" s="68">
        <v>0</v>
      </c>
      <c r="AC132" s="149">
        <f>Y132*Z132*AB132</f>
        <v>0</v>
      </c>
      <c r="AD132" s="250"/>
      <c r="AE132" s="251"/>
      <c r="AF132" s="31"/>
      <c r="AG132" s="29"/>
      <c r="AH132" s="29"/>
      <c r="AI132" s="29"/>
      <c r="AJ132" s="29"/>
      <c r="AK132" s="29"/>
    </row>
    <row r="133" spans="1:37" s="20" customFormat="1" ht="35.25" customHeight="1">
      <c r="A133" s="262"/>
      <c r="B133" s="271"/>
      <c r="C133" s="271"/>
      <c r="D133" s="258"/>
      <c r="E133" s="258"/>
      <c r="F133" s="258"/>
      <c r="G133" s="258"/>
      <c r="H133" s="250"/>
      <c r="I133" s="256"/>
      <c r="J133" s="250"/>
      <c r="K133" s="250"/>
      <c r="L133" s="250"/>
      <c r="M133" s="272"/>
      <c r="N133" s="250"/>
      <c r="O133" s="250"/>
      <c r="P133" s="250"/>
      <c r="Q133" s="250"/>
      <c r="R133" s="250"/>
      <c r="S133" s="250"/>
      <c r="T133" s="250"/>
      <c r="U133" s="65" t="s">
        <v>431</v>
      </c>
      <c r="V133" s="150"/>
      <c r="W133" s="150"/>
      <c r="X133" s="146" t="s">
        <v>396</v>
      </c>
      <c r="Y133" s="149">
        <v>60</v>
      </c>
      <c r="Z133" s="62"/>
      <c r="AA133" s="84"/>
      <c r="AB133" s="68"/>
      <c r="AC133" s="149"/>
      <c r="AD133" s="250"/>
      <c r="AE133" s="251"/>
      <c r="AF133" s="31"/>
      <c r="AG133" s="29"/>
      <c r="AH133" s="29"/>
      <c r="AI133" s="29"/>
      <c r="AJ133" s="29"/>
      <c r="AK133" s="29"/>
    </row>
    <row r="134" spans="1:37" s="20" customFormat="1" ht="21" customHeight="1">
      <c r="A134" s="262"/>
      <c r="B134" s="271"/>
      <c r="C134" s="271"/>
      <c r="D134" s="258"/>
      <c r="E134" s="258"/>
      <c r="F134" s="258"/>
      <c r="G134" s="258"/>
      <c r="H134" s="250"/>
      <c r="I134" s="256"/>
      <c r="J134" s="250"/>
      <c r="K134" s="250"/>
      <c r="L134" s="250"/>
      <c r="M134" s="272"/>
      <c r="N134" s="250"/>
      <c r="O134" s="250"/>
      <c r="P134" s="250"/>
      <c r="Q134" s="250"/>
      <c r="R134" s="250"/>
      <c r="S134" s="250"/>
      <c r="T134" s="250"/>
      <c r="U134" s="67" t="s">
        <v>486</v>
      </c>
      <c r="V134" s="150"/>
      <c r="W134" s="150"/>
      <c r="X134" s="146" t="s">
        <v>396</v>
      </c>
      <c r="Y134" s="149">
        <v>60</v>
      </c>
      <c r="Z134" s="62">
        <v>150000</v>
      </c>
      <c r="AA134" s="84"/>
      <c r="AB134" s="68">
        <v>0</v>
      </c>
      <c r="AC134" s="149">
        <f>Y134*Z134*AB134</f>
        <v>0</v>
      </c>
      <c r="AD134" s="250"/>
      <c r="AE134" s="251"/>
      <c r="AF134" s="31"/>
      <c r="AG134" s="29"/>
      <c r="AH134" s="29"/>
      <c r="AI134" s="29"/>
      <c r="AJ134" s="29"/>
      <c r="AK134" s="29"/>
    </row>
    <row r="135" spans="1:37" s="20" customFormat="1" ht="56.25" customHeight="1">
      <c r="A135" s="262"/>
      <c r="B135" s="271"/>
      <c r="C135" s="271"/>
      <c r="D135" s="258"/>
      <c r="E135" s="258"/>
      <c r="F135" s="258"/>
      <c r="G135" s="258"/>
      <c r="H135" s="250"/>
      <c r="I135" s="256"/>
      <c r="J135" s="250"/>
      <c r="K135" s="250"/>
      <c r="L135" s="250"/>
      <c r="M135" s="272"/>
      <c r="N135" s="250"/>
      <c r="O135" s="250"/>
      <c r="P135" s="250"/>
      <c r="Q135" s="250"/>
      <c r="R135" s="250"/>
      <c r="S135" s="250"/>
      <c r="T135" s="250"/>
      <c r="U135" s="144" t="s">
        <v>483</v>
      </c>
      <c r="V135" s="150"/>
      <c r="W135" s="150"/>
      <c r="X135" s="146" t="s">
        <v>6</v>
      </c>
      <c r="Y135" s="147">
        <v>140</v>
      </c>
      <c r="Z135" s="62"/>
      <c r="AA135" s="84"/>
      <c r="AB135" s="68"/>
      <c r="AC135" s="149"/>
      <c r="AD135" s="250"/>
      <c r="AE135" s="251"/>
      <c r="AF135" s="31"/>
      <c r="AG135" s="29"/>
      <c r="AH135" s="29"/>
      <c r="AI135" s="29"/>
      <c r="AJ135" s="29"/>
      <c r="AK135" s="29"/>
    </row>
    <row r="136" spans="1:37" s="20" customFormat="1" ht="22.5" customHeight="1">
      <c r="A136" s="262"/>
      <c r="B136" s="271"/>
      <c r="C136" s="271"/>
      <c r="D136" s="258"/>
      <c r="E136" s="258"/>
      <c r="F136" s="258"/>
      <c r="G136" s="258"/>
      <c r="H136" s="250"/>
      <c r="I136" s="256"/>
      <c r="J136" s="250"/>
      <c r="K136" s="250"/>
      <c r="L136" s="250"/>
      <c r="M136" s="272"/>
      <c r="N136" s="250"/>
      <c r="O136" s="250"/>
      <c r="P136" s="250"/>
      <c r="Q136" s="250"/>
      <c r="R136" s="250"/>
      <c r="S136" s="250"/>
      <c r="T136" s="250"/>
      <c r="U136" s="144" t="s">
        <v>576</v>
      </c>
      <c r="V136" s="150"/>
      <c r="W136" s="150"/>
      <c r="X136" s="146" t="s">
        <v>6</v>
      </c>
      <c r="Y136" s="147">
        <v>240</v>
      </c>
      <c r="Z136" s="62"/>
      <c r="AA136" s="84"/>
      <c r="AB136" s="68"/>
      <c r="AC136" s="149"/>
      <c r="AD136" s="250"/>
      <c r="AE136" s="251"/>
      <c r="AF136" s="31"/>
      <c r="AG136" s="29"/>
      <c r="AH136" s="29"/>
      <c r="AI136" s="29"/>
      <c r="AJ136" s="29"/>
      <c r="AK136" s="29"/>
    </row>
    <row r="137" spans="1:37" s="20" customFormat="1" ht="22.5" customHeight="1">
      <c r="A137" s="262"/>
      <c r="B137" s="271"/>
      <c r="C137" s="271"/>
      <c r="D137" s="258"/>
      <c r="E137" s="258"/>
      <c r="F137" s="258"/>
      <c r="G137" s="258"/>
      <c r="H137" s="250"/>
      <c r="I137" s="256"/>
      <c r="J137" s="250"/>
      <c r="K137" s="250"/>
      <c r="L137" s="250"/>
      <c r="M137" s="272"/>
      <c r="N137" s="250"/>
      <c r="O137" s="250"/>
      <c r="P137" s="250"/>
      <c r="Q137" s="250"/>
      <c r="R137" s="250"/>
      <c r="S137" s="250"/>
      <c r="T137" s="250"/>
      <c r="U137" s="145" t="s">
        <v>443</v>
      </c>
      <c r="V137" s="150"/>
      <c r="W137" s="150"/>
      <c r="X137" s="146" t="s">
        <v>399</v>
      </c>
      <c r="Y137" s="147">
        <v>2</v>
      </c>
      <c r="Z137" s="62"/>
      <c r="AA137" s="84"/>
      <c r="AB137" s="68"/>
      <c r="AC137" s="149"/>
      <c r="AD137" s="250"/>
      <c r="AE137" s="251"/>
      <c r="AF137" s="31"/>
      <c r="AG137" s="29"/>
      <c r="AH137" s="29"/>
      <c r="AI137" s="29"/>
      <c r="AJ137" s="29"/>
      <c r="AK137" s="29"/>
    </row>
    <row r="138" spans="1:37" s="20" customFormat="1" ht="47.25" customHeight="1">
      <c r="A138" s="262"/>
      <c r="B138" s="271"/>
      <c r="C138" s="271"/>
      <c r="D138" s="258"/>
      <c r="E138" s="258"/>
      <c r="F138" s="258"/>
      <c r="G138" s="258"/>
      <c r="H138" s="250"/>
      <c r="I138" s="256"/>
      <c r="J138" s="250"/>
      <c r="K138" s="250"/>
      <c r="L138" s="250"/>
      <c r="M138" s="272"/>
      <c r="N138" s="250"/>
      <c r="O138" s="250"/>
      <c r="P138" s="250"/>
      <c r="Q138" s="250"/>
      <c r="R138" s="250"/>
      <c r="S138" s="250"/>
      <c r="T138" s="250"/>
      <c r="U138" s="145" t="s">
        <v>577</v>
      </c>
      <c r="V138" s="150"/>
      <c r="W138" s="150"/>
      <c r="X138" s="146" t="s">
        <v>414</v>
      </c>
      <c r="Y138" s="147">
        <v>18</v>
      </c>
      <c r="Z138" s="62"/>
      <c r="AA138" s="84"/>
      <c r="AB138" s="68"/>
      <c r="AC138" s="149"/>
      <c r="AD138" s="250"/>
      <c r="AE138" s="251"/>
      <c r="AF138" s="31"/>
      <c r="AG138" s="29"/>
      <c r="AH138" s="29"/>
      <c r="AI138" s="29"/>
      <c r="AJ138" s="29"/>
      <c r="AK138" s="29"/>
    </row>
    <row r="139" spans="1:37" s="20" customFormat="1" ht="47.25" customHeight="1">
      <c r="A139" s="262"/>
      <c r="B139" s="271"/>
      <c r="C139" s="271"/>
      <c r="D139" s="258"/>
      <c r="E139" s="258"/>
      <c r="F139" s="258"/>
      <c r="G139" s="258"/>
      <c r="H139" s="250"/>
      <c r="I139" s="256"/>
      <c r="J139" s="250"/>
      <c r="K139" s="250"/>
      <c r="L139" s="250"/>
      <c r="M139" s="272"/>
      <c r="N139" s="250"/>
      <c r="O139" s="250"/>
      <c r="P139" s="250"/>
      <c r="Q139" s="250"/>
      <c r="R139" s="250"/>
      <c r="S139" s="250"/>
      <c r="T139" s="250"/>
      <c r="U139" s="144" t="s">
        <v>578</v>
      </c>
      <c r="V139" s="150"/>
      <c r="W139" s="150"/>
      <c r="X139" s="146" t="s">
        <v>7</v>
      </c>
      <c r="Y139" s="147">
        <v>100</v>
      </c>
      <c r="Z139" s="62"/>
      <c r="AA139" s="79"/>
      <c r="AB139" s="80"/>
      <c r="AC139" s="149"/>
      <c r="AD139" s="250"/>
      <c r="AE139" s="251"/>
      <c r="AF139" s="31"/>
      <c r="AG139" s="29"/>
      <c r="AH139" s="29"/>
      <c r="AI139" s="29"/>
      <c r="AJ139" s="29"/>
      <c r="AK139" s="29"/>
    </row>
    <row r="140" spans="1:37" s="19" customFormat="1" ht="23.25" customHeight="1">
      <c r="A140" s="262">
        <v>17</v>
      </c>
      <c r="B140" s="263" t="s">
        <v>548</v>
      </c>
      <c r="C140" s="258" t="s">
        <v>33</v>
      </c>
      <c r="D140" s="258">
        <v>64</v>
      </c>
      <c r="E140" s="258">
        <v>816</v>
      </c>
      <c r="F140" s="258">
        <v>183.6</v>
      </c>
      <c r="G140" s="258" t="s">
        <v>28</v>
      </c>
      <c r="H140" s="250">
        <v>180</v>
      </c>
      <c r="I140" s="256">
        <f>F140-H140</f>
        <v>3.5999999999999943</v>
      </c>
      <c r="J140" s="250">
        <v>180</v>
      </c>
      <c r="K140" s="250">
        <v>1080</v>
      </c>
      <c r="L140" s="258"/>
      <c r="M140" s="272">
        <f>J140/K140*100</f>
        <v>16.666666666666664</v>
      </c>
      <c r="N140" s="250">
        <v>3</v>
      </c>
      <c r="O140" s="250">
        <v>7</v>
      </c>
      <c r="P140" s="250">
        <v>80000</v>
      </c>
      <c r="Q140" s="250">
        <f>P140*J140</f>
        <v>14400000</v>
      </c>
      <c r="R140" s="250">
        <f>Q140*3</f>
        <v>43200000</v>
      </c>
      <c r="S140" s="250">
        <f>N140*O140*17000*30</f>
        <v>10710000</v>
      </c>
      <c r="T140" s="250">
        <f>SUM(Q140:S146)</f>
        <v>68310000</v>
      </c>
      <c r="U140" s="82" t="s">
        <v>446</v>
      </c>
      <c r="V140" s="150"/>
      <c r="W140" s="150"/>
      <c r="X140" s="146" t="s">
        <v>0</v>
      </c>
      <c r="Y140" s="83">
        <v>135</v>
      </c>
      <c r="Z140" s="62">
        <v>180000</v>
      </c>
      <c r="AA140" s="84"/>
      <c r="AB140" s="68">
        <v>1</v>
      </c>
      <c r="AC140" s="149">
        <f>Y140*Z140*AB140</f>
        <v>24300000</v>
      </c>
      <c r="AD140" s="250">
        <f>SUM(AC140:AC146)</f>
        <v>26800000</v>
      </c>
      <c r="AE140" s="251">
        <f>T140+AD140</f>
        <v>95110000</v>
      </c>
      <c r="AF140" s="31"/>
      <c r="AG140" s="81"/>
      <c r="AH140" s="81"/>
      <c r="AI140" s="81"/>
      <c r="AJ140" s="81"/>
      <c r="AK140" s="81"/>
    </row>
    <row r="141" spans="1:37" s="19" customFormat="1" ht="36" customHeight="1">
      <c r="A141" s="262"/>
      <c r="B141" s="263"/>
      <c r="C141" s="258"/>
      <c r="D141" s="258"/>
      <c r="E141" s="258"/>
      <c r="F141" s="258"/>
      <c r="G141" s="258"/>
      <c r="H141" s="250"/>
      <c r="I141" s="256"/>
      <c r="J141" s="250"/>
      <c r="K141" s="250"/>
      <c r="L141" s="258"/>
      <c r="M141" s="272"/>
      <c r="N141" s="250"/>
      <c r="O141" s="250"/>
      <c r="P141" s="250"/>
      <c r="Q141" s="250"/>
      <c r="R141" s="250"/>
      <c r="S141" s="250"/>
      <c r="T141" s="250"/>
      <c r="U141" s="65" t="s">
        <v>449</v>
      </c>
      <c r="V141" s="150">
        <v>4</v>
      </c>
      <c r="W141" s="150">
        <f>(J140-Y140)/V141</f>
        <v>11.25</v>
      </c>
      <c r="X141" s="146" t="s">
        <v>396</v>
      </c>
      <c r="Y141" s="149">
        <v>20</v>
      </c>
      <c r="Z141" s="62"/>
      <c r="AA141" s="84"/>
      <c r="AB141" s="68"/>
      <c r="AC141" s="149"/>
      <c r="AD141" s="250"/>
      <c r="AE141" s="251"/>
      <c r="AF141" s="31" t="s">
        <v>398</v>
      </c>
      <c r="AG141" s="81"/>
      <c r="AH141" s="81"/>
      <c r="AI141" s="81"/>
      <c r="AJ141" s="81"/>
      <c r="AK141" s="81"/>
    </row>
    <row r="142" spans="1:37" s="19" customFormat="1" ht="21.75" customHeight="1">
      <c r="A142" s="262"/>
      <c r="B142" s="263"/>
      <c r="C142" s="258"/>
      <c r="D142" s="258"/>
      <c r="E142" s="258"/>
      <c r="F142" s="258"/>
      <c r="G142" s="258"/>
      <c r="H142" s="250"/>
      <c r="I142" s="256"/>
      <c r="J142" s="250"/>
      <c r="K142" s="250"/>
      <c r="L142" s="258"/>
      <c r="M142" s="272"/>
      <c r="N142" s="250"/>
      <c r="O142" s="250"/>
      <c r="P142" s="250"/>
      <c r="Q142" s="250"/>
      <c r="R142" s="250"/>
      <c r="S142" s="250"/>
      <c r="T142" s="250"/>
      <c r="U142" s="67" t="s">
        <v>421</v>
      </c>
      <c r="V142" s="150"/>
      <c r="W142" s="150"/>
      <c r="X142" s="146" t="s">
        <v>396</v>
      </c>
      <c r="Y142" s="149">
        <v>11</v>
      </c>
      <c r="Z142" s="62">
        <v>200000</v>
      </c>
      <c r="AA142" s="84"/>
      <c r="AB142" s="68">
        <v>1</v>
      </c>
      <c r="AC142" s="149">
        <f>Y142*Z142*AB142</f>
        <v>2200000</v>
      </c>
      <c r="AD142" s="250"/>
      <c r="AE142" s="251"/>
      <c r="AF142" s="31"/>
      <c r="AG142" s="81"/>
      <c r="AH142" s="81"/>
      <c r="AI142" s="81"/>
      <c r="AJ142" s="81"/>
      <c r="AK142" s="81"/>
    </row>
    <row r="143" spans="1:37" s="19" customFormat="1" ht="21.75" customHeight="1">
      <c r="A143" s="262"/>
      <c r="B143" s="263"/>
      <c r="C143" s="258"/>
      <c r="D143" s="258"/>
      <c r="E143" s="258"/>
      <c r="F143" s="258"/>
      <c r="G143" s="258"/>
      <c r="H143" s="250"/>
      <c r="I143" s="256"/>
      <c r="J143" s="250"/>
      <c r="K143" s="250"/>
      <c r="L143" s="258"/>
      <c r="M143" s="272"/>
      <c r="N143" s="250"/>
      <c r="O143" s="250"/>
      <c r="P143" s="250"/>
      <c r="Q143" s="250"/>
      <c r="R143" s="250"/>
      <c r="S143" s="250"/>
      <c r="T143" s="250"/>
      <c r="U143" s="67" t="s">
        <v>423</v>
      </c>
      <c r="V143" s="150"/>
      <c r="W143" s="150">
        <f>0.3*W141</f>
        <v>3.375</v>
      </c>
      <c r="X143" s="146" t="s">
        <v>396</v>
      </c>
      <c r="Y143" s="149">
        <v>3</v>
      </c>
      <c r="Z143" s="62">
        <v>200000</v>
      </c>
      <c r="AA143" s="79"/>
      <c r="AB143" s="80">
        <v>0.5</v>
      </c>
      <c r="AC143" s="149">
        <f t="shared" ref="AC143:AC144" si="21">Y143*Z143*AB143</f>
        <v>300000</v>
      </c>
      <c r="AD143" s="250"/>
      <c r="AE143" s="251"/>
      <c r="AF143" s="31"/>
      <c r="AG143" s="81"/>
      <c r="AH143" s="81"/>
      <c r="AI143" s="81"/>
      <c r="AJ143" s="81"/>
      <c r="AK143" s="81"/>
    </row>
    <row r="144" spans="1:37" s="19" customFormat="1" ht="21.75" customHeight="1">
      <c r="A144" s="262"/>
      <c r="B144" s="263"/>
      <c r="C144" s="258"/>
      <c r="D144" s="258"/>
      <c r="E144" s="258"/>
      <c r="F144" s="258"/>
      <c r="G144" s="258"/>
      <c r="H144" s="250"/>
      <c r="I144" s="256"/>
      <c r="J144" s="250"/>
      <c r="K144" s="250"/>
      <c r="L144" s="258"/>
      <c r="M144" s="272"/>
      <c r="N144" s="250"/>
      <c r="O144" s="250"/>
      <c r="P144" s="250"/>
      <c r="Q144" s="250"/>
      <c r="R144" s="250"/>
      <c r="S144" s="250"/>
      <c r="T144" s="250"/>
      <c r="U144" s="67" t="s">
        <v>424</v>
      </c>
      <c r="V144" s="150"/>
      <c r="W144" s="150"/>
      <c r="X144" s="146" t="s">
        <v>396</v>
      </c>
      <c r="Y144" s="149">
        <f>Y142-Y143</f>
        <v>8</v>
      </c>
      <c r="Z144" s="62">
        <v>200000</v>
      </c>
      <c r="AA144" s="79"/>
      <c r="AB144" s="80">
        <v>0</v>
      </c>
      <c r="AC144" s="149">
        <f t="shared" si="21"/>
        <v>0</v>
      </c>
      <c r="AD144" s="250"/>
      <c r="AE144" s="251"/>
      <c r="AF144" s="31"/>
      <c r="AG144" s="81"/>
      <c r="AH144" s="81"/>
      <c r="AI144" s="81"/>
      <c r="AJ144" s="81"/>
      <c r="AK144" s="81"/>
    </row>
    <row r="145" spans="1:37" s="19" customFormat="1" ht="34.5" customHeight="1">
      <c r="A145" s="262"/>
      <c r="B145" s="263"/>
      <c r="C145" s="258"/>
      <c r="D145" s="258"/>
      <c r="E145" s="258"/>
      <c r="F145" s="258"/>
      <c r="G145" s="258"/>
      <c r="H145" s="250"/>
      <c r="I145" s="256"/>
      <c r="J145" s="250"/>
      <c r="K145" s="250"/>
      <c r="L145" s="258"/>
      <c r="M145" s="272"/>
      <c r="N145" s="250"/>
      <c r="O145" s="250"/>
      <c r="P145" s="250"/>
      <c r="Q145" s="250"/>
      <c r="R145" s="250"/>
      <c r="S145" s="250"/>
      <c r="T145" s="250"/>
      <c r="U145" s="65" t="s">
        <v>450</v>
      </c>
      <c r="V145" s="150"/>
      <c r="W145" s="150"/>
      <c r="X145" s="146" t="s">
        <v>396</v>
      </c>
      <c r="Y145" s="149">
        <v>5</v>
      </c>
      <c r="Z145" s="62"/>
      <c r="AA145" s="84"/>
      <c r="AB145" s="68"/>
      <c r="AC145" s="149"/>
      <c r="AD145" s="250"/>
      <c r="AE145" s="251"/>
      <c r="AF145" s="31"/>
      <c r="AG145" s="81"/>
      <c r="AH145" s="81"/>
      <c r="AI145" s="81"/>
      <c r="AJ145" s="81"/>
      <c r="AK145" s="81"/>
    </row>
    <row r="146" spans="1:37" s="19" customFormat="1" ht="21.75" customHeight="1">
      <c r="A146" s="262"/>
      <c r="B146" s="263"/>
      <c r="C146" s="258"/>
      <c r="D146" s="258"/>
      <c r="E146" s="258"/>
      <c r="F146" s="258"/>
      <c r="G146" s="258"/>
      <c r="H146" s="250"/>
      <c r="I146" s="256"/>
      <c r="J146" s="250"/>
      <c r="K146" s="250"/>
      <c r="L146" s="258"/>
      <c r="M146" s="272"/>
      <c r="N146" s="250"/>
      <c r="O146" s="250"/>
      <c r="P146" s="250"/>
      <c r="Q146" s="250"/>
      <c r="R146" s="250"/>
      <c r="S146" s="250"/>
      <c r="T146" s="250"/>
      <c r="U146" s="67" t="s">
        <v>486</v>
      </c>
      <c r="V146" s="150"/>
      <c r="W146" s="150"/>
      <c r="X146" s="146" t="s">
        <v>396</v>
      </c>
      <c r="Y146" s="149">
        <v>5</v>
      </c>
      <c r="Z146" s="62">
        <v>150000</v>
      </c>
      <c r="AA146" s="84"/>
      <c r="AB146" s="68">
        <v>0</v>
      </c>
      <c r="AC146" s="149">
        <f>Y146*Z146*AB146</f>
        <v>0</v>
      </c>
      <c r="AD146" s="250"/>
      <c r="AE146" s="251"/>
      <c r="AF146" s="31"/>
      <c r="AG146" s="81"/>
      <c r="AH146" s="81"/>
      <c r="AI146" s="81"/>
      <c r="AJ146" s="81"/>
      <c r="AK146" s="81"/>
    </row>
    <row r="147" spans="1:37" s="19" customFormat="1" ht="20.25" customHeight="1">
      <c r="A147" s="262">
        <v>18</v>
      </c>
      <c r="B147" s="263" t="s">
        <v>549</v>
      </c>
      <c r="C147" s="258" t="s">
        <v>33</v>
      </c>
      <c r="D147" s="258">
        <v>64</v>
      </c>
      <c r="E147" s="258">
        <v>494</v>
      </c>
      <c r="F147" s="258">
        <v>648.1</v>
      </c>
      <c r="G147" s="258" t="s">
        <v>28</v>
      </c>
      <c r="H147" s="250">
        <v>648</v>
      </c>
      <c r="I147" s="256">
        <f>F147-H147</f>
        <v>0.10000000000002274</v>
      </c>
      <c r="J147" s="250">
        <v>648</v>
      </c>
      <c r="K147" s="250">
        <v>720</v>
      </c>
      <c r="L147" s="258"/>
      <c r="M147" s="272">
        <f>J147/K147*100</f>
        <v>90</v>
      </c>
      <c r="N147" s="250">
        <v>12</v>
      </c>
      <c r="O147" s="250">
        <v>3</v>
      </c>
      <c r="P147" s="250">
        <v>80000</v>
      </c>
      <c r="Q147" s="250">
        <f>P147*J147</f>
        <v>51840000</v>
      </c>
      <c r="R147" s="250">
        <f>Q147*3</f>
        <v>155520000</v>
      </c>
      <c r="S147" s="250">
        <f>N147*O147*17000*30</f>
        <v>18360000</v>
      </c>
      <c r="T147" s="250">
        <f>SUM(Q147:S153)</f>
        <v>225720000</v>
      </c>
      <c r="U147" s="82" t="s">
        <v>446</v>
      </c>
      <c r="V147" s="150"/>
      <c r="W147" s="150"/>
      <c r="X147" s="146" t="s">
        <v>0</v>
      </c>
      <c r="Y147" s="83">
        <v>486</v>
      </c>
      <c r="Z147" s="62">
        <v>180000</v>
      </c>
      <c r="AA147" s="84"/>
      <c r="AB147" s="68">
        <v>1</v>
      </c>
      <c r="AC147" s="149">
        <f>Y147*Z147*AB147</f>
        <v>87480000</v>
      </c>
      <c r="AD147" s="250">
        <f>SUM(AC147:AC153)</f>
        <v>96680000</v>
      </c>
      <c r="AE147" s="251">
        <f>T147+AD147</f>
        <v>322400000</v>
      </c>
      <c r="AF147" s="31"/>
      <c r="AG147" s="81"/>
      <c r="AH147" s="81"/>
      <c r="AI147" s="81"/>
      <c r="AJ147" s="81"/>
      <c r="AK147" s="81"/>
    </row>
    <row r="148" spans="1:37" s="19" customFormat="1" ht="36" customHeight="1">
      <c r="A148" s="262"/>
      <c r="B148" s="263"/>
      <c r="C148" s="258"/>
      <c r="D148" s="258"/>
      <c r="E148" s="258"/>
      <c r="F148" s="258"/>
      <c r="G148" s="258"/>
      <c r="H148" s="250"/>
      <c r="I148" s="256"/>
      <c r="J148" s="250"/>
      <c r="K148" s="250"/>
      <c r="L148" s="258"/>
      <c r="M148" s="272"/>
      <c r="N148" s="250"/>
      <c r="O148" s="250"/>
      <c r="P148" s="250"/>
      <c r="Q148" s="250"/>
      <c r="R148" s="250"/>
      <c r="S148" s="250"/>
      <c r="T148" s="250"/>
      <c r="U148" s="65" t="s">
        <v>449</v>
      </c>
      <c r="V148" s="150">
        <v>4</v>
      </c>
      <c r="W148" s="150">
        <f>(J147-Y147)/V148</f>
        <v>40.5</v>
      </c>
      <c r="X148" s="146" t="s">
        <v>396</v>
      </c>
      <c r="Y148" s="149">
        <v>45</v>
      </c>
      <c r="Z148" s="62"/>
      <c r="AA148" s="84"/>
      <c r="AB148" s="68"/>
      <c r="AC148" s="149"/>
      <c r="AD148" s="250"/>
      <c r="AE148" s="251"/>
      <c r="AF148" s="31" t="s">
        <v>398</v>
      </c>
      <c r="AG148" s="81"/>
      <c r="AH148" s="81"/>
      <c r="AI148" s="81"/>
      <c r="AJ148" s="81"/>
      <c r="AK148" s="81"/>
    </row>
    <row r="149" spans="1:37" s="19" customFormat="1" ht="26.25" customHeight="1">
      <c r="A149" s="262"/>
      <c r="B149" s="263"/>
      <c r="C149" s="258"/>
      <c r="D149" s="258"/>
      <c r="E149" s="258"/>
      <c r="F149" s="258"/>
      <c r="G149" s="258"/>
      <c r="H149" s="250"/>
      <c r="I149" s="256"/>
      <c r="J149" s="250"/>
      <c r="K149" s="250"/>
      <c r="L149" s="258"/>
      <c r="M149" s="272"/>
      <c r="N149" s="250"/>
      <c r="O149" s="250"/>
      <c r="P149" s="250"/>
      <c r="Q149" s="250"/>
      <c r="R149" s="250"/>
      <c r="S149" s="250"/>
      <c r="T149" s="250"/>
      <c r="U149" s="67" t="s">
        <v>421</v>
      </c>
      <c r="V149" s="150"/>
      <c r="W149" s="150"/>
      <c r="X149" s="146" t="s">
        <v>396</v>
      </c>
      <c r="Y149" s="149">
        <v>41</v>
      </c>
      <c r="Z149" s="62">
        <v>200000</v>
      </c>
      <c r="AA149" s="84"/>
      <c r="AB149" s="68">
        <v>1</v>
      </c>
      <c r="AC149" s="149">
        <f>Y149*Z149*AB149</f>
        <v>8200000</v>
      </c>
      <c r="AD149" s="250"/>
      <c r="AE149" s="251"/>
      <c r="AF149" s="31"/>
      <c r="AG149" s="81"/>
      <c r="AH149" s="81"/>
      <c r="AI149" s="81"/>
      <c r="AJ149" s="81"/>
      <c r="AK149" s="81"/>
    </row>
    <row r="150" spans="1:37" s="19" customFormat="1" ht="26.25" customHeight="1">
      <c r="A150" s="262"/>
      <c r="B150" s="263"/>
      <c r="C150" s="258"/>
      <c r="D150" s="258"/>
      <c r="E150" s="258"/>
      <c r="F150" s="258"/>
      <c r="G150" s="258"/>
      <c r="H150" s="250"/>
      <c r="I150" s="256"/>
      <c r="J150" s="250"/>
      <c r="K150" s="250"/>
      <c r="L150" s="258"/>
      <c r="M150" s="272"/>
      <c r="N150" s="250"/>
      <c r="O150" s="250"/>
      <c r="P150" s="250"/>
      <c r="Q150" s="250"/>
      <c r="R150" s="250"/>
      <c r="S150" s="250"/>
      <c r="T150" s="250"/>
      <c r="U150" s="67" t="s">
        <v>423</v>
      </c>
      <c r="V150" s="150"/>
      <c r="W150" s="150">
        <f>0.3*W148</f>
        <v>12.15</v>
      </c>
      <c r="X150" s="146" t="s">
        <v>396</v>
      </c>
      <c r="Y150" s="149">
        <v>4</v>
      </c>
      <c r="Z150" s="62">
        <v>200000</v>
      </c>
      <c r="AA150" s="79"/>
      <c r="AB150" s="80">
        <v>0.5</v>
      </c>
      <c r="AC150" s="149">
        <f t="shared" ref="AC150" si="22">Y150*Z150*AB150</f>
        <v>400000</v>
      </c>
      <c r="AD150" s="250"/>
      <c r="AE150" s="251"/>
      <c r="AF150" s="31"/>
      <c r="AG150" s="102"/>
      <c r="AH150" s="81"/>
      <c r="AI150" s="81"/>
      <c r="AJ150" s="81"/>
      <c r="AK150" s="81"/>
    </row>
    <row r="151" spans="1:37" s="19" customFormat="1" ht="30.75" customHeight="1">
      <c r="A151" s="262"/>
      <c r="B151" s="263"/>
      <c r="C151" s="258"/>
      <c r="D151" s="258"/>
      <c r="E151" s="258"/>
      <c r="F151" s="258"/>
      <c r="G151" s="258"/>
      <c r="H151" s="250"/>
      <c r="I151" s="256"/>
      <c r="J151" s="250"/>
      <c r="K151" s="250"/>
      <c r="L151" s="258"/>
      <c r="M151" s="272"/>
      <c r="N151" s="250"/>
      <c r="O151" s="250"/>
      <c r="P151" s="250"/>
      <c r="Q151" s="250"/>
      <c r="R151" s="250"/>
      <c r="S151" s="250"/>
      <c r="T151" s="250"/>
      <c r="U151" s="65" t="s">
        <v>450</v>
      </c>
      <c r="V151" s="150"/>
      <c r="W151" s="150"/>
      <c r="X151" s="146" t="s">
        <v>396</v>
      </c>
      <c r="Y151" s="149">
        <v>20</v>
      </c>
      <c r="Z151" s="62"/>
      <c r="AA151" s="84"/>
      <c r="AB151" s="68"/>
      <c r="AC151" s="149"/>
      <c r="AD151" s="250"/>
      <c r="AE151" s="251"/>
      <c r="AF151" s="31"/>
      <c r="AG151" s="81"/>
      <c r="AH151" s="81"/>
      <c r="AI151" s="81"/>
      <c r="AJ151" s="81"/>
      <c r="AK151" s="81"/>
    </row>
    <row r="152" spans="1:37" s="19" customFormat="1" ht="30.75" customHeight="1">
      <c r="A152" s="262"/>
      <c r="B152" s="263"/>
      <c r="C152" s="258"/>
      <c r="D152" s="258"/>
      <c r="E152" s="258"/>
      <c r="F152" s="258"/>
      <c r="G152" s="258"/>
      <c r="H152" s="250"/>
      <c r="I152" s="256"/>
      <c r="J152" s="250"/>
      <c r="K152" s="250"/>
      <c r="L152" s="258"/>
      <c r="M152" s="272"/>
      <c r="N152" s="250"/>
      <c r="O152" s="250"/>
      <c r="P152" s="250"/>
      <c r="Q152" s="250"/>
      <c r="R152" s="250"/>
      <c r="S152" s="250"/>
      <c r="T152" s="250"/>
      <c r="U152" s="67" t="s">
        <v>423</v>
      </c>
      <c r="V152" s="150"/>
      <c r="W152" s="150"/>
      <c r="X152" s="146" t="s">
        <v>396</v>
      </c>
      <c r="Y152" s="149">
        <v>8</v>
      </c>
      <c r="Z152" s="62">
        <v>150000</v>
      </c>
      <c r="AA152" s="79"/>
      <c r="AB152" s="80">
        <v>0.5</v>
      </c>
      <c r="AC152" s="149">
        <f t="shared" ref="AC152:AC154" si="23">Y152*Z152*AB152</f>
        <v>600000</v>
      </c>
      <c r="AD152" s="250"/>
      <c r="AE152" s="251"/>
      <c r="AF152" s="31"/>
      <c r="AG152" s="81"/>
      <c r="AH152" s="81"/>
      <c r="AI152" s="81"/>
      <c r="AJ152" s="81"/>
      <c r="AK152" s="81"/>
    </row>
    <row r="153" spans="1:37" s="19" customFormat="1" ht="21.75" customHeight="1">
      <c r="A153" s="262"/>
      <c r="B153" s="263"/>
      <c r="C153" s="258"/>
      <c r="D153" s="258"/>
      <c r="E153" s="258"/>
      <c r="F153" s="258"/>
      <c r="G153" s="258"/>
      <c r="H153" s="250"/>
      <c r="I153" s="256"/>
      <c r="J153" s="250"/>
      <c r="K153" s="250"/>
      <c r="L153" s="258"/>
      <c r="M153" s="272"/>
      <c r="N153" s="250"/>
      <c r="O153" s="250"/>
      <c r="P153" s="250"/>
      <c r="Q153" s="250"/>
      <c r="R153" s="250"/>
      <c r="S153" s="250"/>
      <c r="T153" s="250"/>
      <c r="U153" s="67" t="s">
        <v>424</v>
      </c>
      <c r="V153" s="150"/>
      <c r="W153" s="150"/>
      <c r="X153" s="146" t="s">
        <v>396</v>
      </c>
      <c r="Y153" s="149">
        <f>Y151-Y152</f>
        <v>12</v>
      </c>
      <c r="Z153" s="62">
        <v>150000</v>
      </c>
      <c r="AA153" s="79"/>
      <c r="AB153" s="80">
        <v>0</v>
      </c>
      <c r="AC153" s="149">
        <f t="shared" si="23"/>
        <v>0</v>
      </c>
      <c r="AD153" s="250"/>
      <c r="AE153" s="251"/>
      <c r="AF153" s="31"/>
      <c r="AG153" s="81"/>
      <c r="AH153" s="81"/>
      <c r="AI153" s="81"/>
      <c r="AJ153" s="81"/>
      <c r="AK153" s="81"/>
    </row>
    <row r="154" spans="1:37" s="19" customFormat="1" ht="26.25" customHeight="1">
      <c r="A154" s="262">
        <v>19</v>
      </c>
      <c r="B154" s="263" t="s">
        <v>550</v>
      </c>
      <c r="C154" s="258" t="s">
        <v>33</v>
      </c>
      <c r="D154" s="258">
        <v>64</v>
      </c>
      <c r="E154" s="258">
        <v>493</v>
      </c>
      <c r="F154" s="258">
        <v>469.7</v>
      </c>
      <c r="G154" s="258" t="s">
        <v>28</v>
      </c>
      <c r="H154" s="250">
        <v>468</v>
      </c>
      <c r="I154" s="256">
        <f>F154-H154</f>
        <v>1.6999999999999886</v>
      </c>
      <c r="J154" s="250">
        <v>468</v>
      </c>
      <c r="K154" s="250">
        <v>720</v>
      </c>
      <c r="L154" s="258"/>
      <c r="M154" s="272">
        <f>J154/K154*100</f>
        <v>65</v>
      </c>
      <c r="N154" s="250">
        <v>6</v>
      </c>
      <c r="O154" s="250">
        <v>2</v>
      </c>
      <c r="P154" s="250">
        <v>80000</v>
      </c>
      <c r="Q154" s="250">
        <f>P154*J154</f>
        <v>37440000</v>
      </c>
      <c r="R154" s="250">
        <f>Q154*3</f>
        <v>112320000</v>
      </c>
      <c r="S154" s="250">
        <f>N154*O154*17000*30</f>
        <v>6120000</v>
      </c>
      <c r="T154" s="250">
        <f>SUM(Q154:S160)</f>
        <v>155880000</v>
      </c>
      <c r="U154" s="82" t="s">
        <v>446</v>
      </c>
      <c r="V154" s="150"/>
      <c r="W154" s="150"/>
      <c r="X154" s="146" t="s">
        <v>0</v>
      </c>
      <c r="Y154" s="83">
        <v>351</v>
      </c>
      <c r="Z154" s="62">
        <v>180000</v>
      </c>
      <c r="AA154" s="84"/>
      <c r="AB154" s="68">
        <v>1</v>
      </c>
      <c r="AC154" s="149">
        <f t="shared" si="23"/>
        <v>63180000</v>
      </c>
      <c r="AD154" s="250">
        <f>SUM(AC154:AC160)</f>
        <v>69880000</v>
      </c>
      <c r="AE154" s="251">
        <f>T154+AD154</f>
        <v>225760000</v>
      </c>
      <c r="AF154" s="31"/>
      <c r="AG154" s="81"/>
      <c r="AH154" s="81"/>
      <c r="AI154" s="81"/>
      <c r="AJ154" s="81"/>
      <c r="AK154" s="81"/>
    </row>
    <row r="155" spans="1:37" s="19" customFormat="1" ht="36" customHeight="1">
      <c r="A155" s="262"/>
      <c r="B155" s="263"/>
      <c r="C155" s="258"/>
      <c r="D155" s="258"/>
      <c r="E155" s="258"/>
      <c r="F155" s="258"/>
      <c r="G155" s="258"/>
      <c r="H155" s="250"/>
      <c r="I155" s="256"/>
      <c r="J155" s="250"/>
      <c r="K155" s="250"/>
      <c r="L155" s="258"/>
      <c r="M155" s="272"/>
      <c r="N155" s="250"/>
      <c r="O155" s="250"/>
      <c r="P155" s="250"/>
      <c r="Q155" s="250"/>
      <c r="R155" s="250"/>
      <c r="S155" s="250"/>
      <c r="T155" s="250"/>
      <c r="U155" s="65" t="s">
        <v>449</v>
      </c>
      <c r="V155" s="150">
        <v>4</v>
      </c>
      <c r="W155" s="150">
        <f>(J154-Y154)/V155</f>
        <v>29.25</v>
      </c>
      <c r="X155" s="146" t="s">
        <v>396</v>
      </c>
      <c r="Y155" s="149">
        <v>45</v>
      </c>
      <c r="Z155" s="62"/>
      <c r="AA155" s="84"/>
      <c r="AB155" s="68"/>
      <c r="AC155" s="149"/>
      <c r="AD155" s="250"/>
      <c r="AE155" s="251"/>
      <c r="AF155" s="31" t="s">
        <v>398</v>
      </c>
      <c r="AG155" s="81"/>
      <c r="AH155" s="81"/>
      <c r="AI155" s="81"/>
      <c r="AJ155" s="81"/>
      <c r="AK155" s="81"/>
    </row>
    <row r="156" spans="1:37" s="19" customFormat="1" ht="21.75" customHeight="1">
      <c r="A156" s="262"/>
      <c r="B156" s="263"/>
      <c r="C156" s="258"/>
      <c r="D156" s="258"/>
      <c r="E156" s="258"/>
      <c r="F156" s="258"/>
      <c r="G156" s="258"/>
      <c r="H156" s="250"/>
      <c r="I156" s="256"/>
      <c r="J156" s="250"/>
      <c r="K156" s="250"/>
      <c r="L156" s="258"/>
      <c r="M156" s="272"/>
      <c r="N156" s="250"/>
      <c r="O156" s="250"/>
      <c r="P156" s="250"/>
      <c r="Q156" s="250"/>
      <c r="R156" s="250"/>
      <c r="S156" s="250"/>
      <c r="T156" s="250"/>
      <c r="U156" s="67" t="s">
        <v>421</v>
      </c>
      <c r="V156" s="150"/>
      <c r="W156" s="150"/>
      <c r="X156" s="146" t="s">
        <v>396</v>
      </c>
      <c r="Y156" s="149">
        <v>29</v>
      </c>
      <c r="Z156" s="62">
        <v>200000</v>
      </c>
      <c r="AA156" s="84"/>
      <c r="AB156" s="68">
        <v>1</v>
      </c>
      <c r="AC156" s="149">
        <f>Y156*Z156*AB156</f>
        <v>5800000</v>
      </c>
      <c r="AD156" s="250"/>
      <c r="AE156" s="251"/>
      <c r="AF156" s="31"/>
      <c r="AG156" s="81"/>
      <c r="AH156" s="81"/>
      <c r="AI156" s="81"/>
      <c r="AJ156" s="81"/>
      <c r="AK156" s="81"/>
    </row>
    <row r="157" spans="1:37" s="19" customFormat="1" ht="21.75" customHeight="1">
      <c r="A157" s="262"/>
      <c r="B157" s="263"/>
      <c r="C157" s="258"/>
      <c r="D157" s="258"/>
      <c r="E157" s="258"/>
      <c r="F157" s="258"/>
      <c r="G157" s="258"/>
      <c r="H157" s="250"/>
      <c r="I157" s="256"/>
      <c r="J157" s="250"/>
      <c r="K157" s="250"/>
      <c r="L157" s="258"/>
      <c r="M157" s="272"/>
      <c r="N157" s="250"/>
      <c r="O157" s="250"/>
      <c r="P157" s="250"/>
      <c r="Q157" s="250"/>
      <c r="R157" s="250"/>
      <c r="S157" s="250"/>
      <c r="T157" s="250"/>
      <c r="U157" s="67" t="s">
        <v>423</v>
      </c>
      <c r="V157" s="150"/>
      <c r="W157" s="150">
        <f>0.3*W155</f>
        <v>8.7750000000000004</v>
      </c>
      <c r="X157" s="146" t="s">
        <v>396</v>
      </c>
      <c r="Y157" s="149">
        <v>9</v>
      </c>
      <c r="Z157" s="62">
        <v>200000</v>
      </c>
      <c r="AA157" s="79"/>
      <c r="AB157" s="80">
        <v>0.5</v>
      </c>
      <c r="AC157" s="149">
        <f t="shared" ref="AC157:AC158" si="24">Y157*Z157*AB157</f>
        <v>900000</v>
      </c>
      <c r="AD157" s="250"/>
      <c r="AE157" s="251"/>
      <c r="AF157" s="31"/>
      <c r="AG157" s="81"/>
      <c r="AH157" s="81"/>
      <c r="AI157" s="81"/>
      <c r="AJ157" s="81"/>
      <c r="AK157" s="81"/>
    </row>
    <row r="158" spans="1:37" s="19" customFormat="1" ht="21.75" customHeight="1">
      <c r="A158" s="262"/>
      <c r="B158" s="263"/>
      <c r="C158" s="258"/>
      <c r="D158" s="258"/>
      <c r="E158" s="258"/>
      <c r="F158" s="258"/>
      <c r="G158" s="258"/>
      <c r="H158" s="250"/>
      <c r="I158" s="256"/>
      <c r="J158" s="250"/>
      <c r="K158" s="250"/>
      <c r="L158" s="258"/>
      <c r="M158" s="272"/>
      <c r="N158" s="250"/>
      <c r="O158" s="250"/>
      <c r="P158" s="250"/>
      <c r="Q158" s="250"/>
      <c r="R158" s="250"/>
      <c r="S158" s="250"/>
      <c r="T158" s="250"/>
      <c r="U158" s="67" t="s">
        <v>424</v>
      </c>
      <c r="V158" s="150"/>
      <c r="W158" s="150"/>
      <c r="X158" s="146" t="s">
        <v>396</v>
      </c>
      <c r="Y158" s="149">
        <f>Y156-Y157</f>
        <v>20</v>
      </c>
      <c r="Z158" s="62">
        <v>200000</v>
      </c>
      <c r="AA158" s="79"/>
      <c r="AB158" s="80">
        <v>0</v>
      </c>
      <c r="AC158" s="149">
        <f t="shared" si="24"/>
        <v>0</v>
      </c>
      <c r="AD158" s="250"/>
      <c r="AE158" s="251"/>
      <c r="AF158" s="31"/>
      <c r="AG158" s="81"/>
      <c r="AH158" s="81"/>
      <c r="AI158" s="81"/>
      <c r="AJ158" s="81"/>
      <c r="AK158" s="81"/>
    </row>
    <row r="159" spans="1:37" s="19" customFormat="1" ht="30.75" customHeight="1">
      <c r="A159" s="262"/>
      <c r="B159" s="263"/>
      <c r="C159" s="258"/>
      <c r="D159" s="258"/>
      <c r="E159" s="258"/>
      <c r="F159" s="258"/>
      <c r="G159" s="258"/>
      <c r="H159" s="250"/>
      <c r="I159" s="256"/>
      <c r="J159" s="250"/>
      <c r="K159" s="250"/>
      <c r="L159" s="258"/>
      <c r="M159" s="272"/>
      <c r="N159" s="250"/>
      <c r="O159" s="250"/>
      <c r="P159" s="250"/>
      <c r="Q159" s="250"/>
      <c r="R159" s="250"/>
      <c r="S159" s="250"/>
      <c r="T159" s="250"/>
      <c r="U159" s="65" t="s">
        <v>450</v>
      </c>
      <c r="V159" s="150"/>
      <c r="W159" s="150"/>
      <c r="X159" s="146" t="s">
        <v>396</v>
      </c>
      <c r="Y159" s="149">
        <v>30</v>
      </c>
      <c r="Z159" s="62"/>
      <c r="AA159" s="84"/>
      <c r="AB159" s="68"/>
      <c r="AC159" s="149"/>
      <c r="AD159" s="250"/>
      <c r="AE159" s="251"/>
      <c r="AF159" s="31"/>
      <c r="AG159" s="81"/>
      <c r="AH159" s="81"/>
      <c r="AI159" s="81"/>
      <c r="AJ159" s="81"/>
      <c r="AK159" s="81"/>
    </row>
    <row r="160" spans="1:37" s="19" customFormat="1" ht="21.75" customHeight="1">
      <c r="A160" s="262"/>
      <c r="B160" s="263"/>
      <c r="C160" s="258"/>
      <c r="D160" s="258"/>
      <c r="E160" s="258"/>
      <c r="F160" s="258"/>
      <c r="G160" s="258"/>
      <c r="H160" s="250"/>
      <c r="I160" s="256"/>
      <c r="J160" s="250"/>
      <c r="K160" s="250"/>
      <c r="L160" s="258"/>
      <c r="M160" s="272"/>
      <c r="N160" s="250"/>
      <c r="O160" s="250"/>
      <c r="P160" s="250"/>
      <c r="Q160" s="250"/>
      <c r="R160" s="250"/>
      <c r="S160" s="250"/>
      <c r="T160" s="250"/>
      <c r="U160" s="67" t="s">
        <v>424</v>
      </c>
      <c r="V160" s="150"/>
      <c r="W160" s="150"/>
      <c r="X160" s="146" t="s">
        <v>396</v>
      </c>
      <c r="Y160" s="149">
        <v>30</v>
      </c>
      <c r="Z160" s="62">
        <v>150000</v>
      </c>
      <c r="AA160" s="79"/>
      <c r="AB160" s="80">
        <v>0</v>
      </c>
      <c r="AC160" s="149">
        <f t="shared" ref="AC160:AC162" si="25">Y160*Z160*AB160</f>
        <v>0</v>
      </c>
      <c r="AD160" s="250"/>
      <c r="AE160" s="251"/>
      <c r="AF160" s="31"/>
      <c r="AG160" s="81"/>
      <c r="AH160" s="81"/>
      <c r="AI160" s="81"/>
      <c r="AJ160" s="81"/>
      <c r="AK160" s="81"/>
    </row>
    <row r="161" spans="1:37" s="19" customFormat="1" ht="28.5" customHeight="1">
      <c r="A161" s="262">
        <v>20</v>
      </c>
      <c r="B161" s="263" t="s">
        <v>636</v>
      </c>
      <c r="C161" s="258" t="s">
        <v>33</v>
      </c>
      <c r="D161" s="258">
        <v>64</v>
      </c>
      <c r="E161" s="258">
        <v>491</v>
      </c>
      <c r="F161" s="258">
        <v>1055.3</v>
      </c>
      <c r="G161" s="258" t="s">
        <v>28</v>
      </c>
      <c r="H161" s="256">
        <v>1055.7</v>
      </c>
      <c r="I161" s="256">
        <f>F161-H161</f>
        <v>-0.40000000000009095</v>
      </c>
      <c r="J161" s="256">
        <v>1055.7</v>
      </c>
      <c r="K161" s="250">
        <v>1800</v>
      </c>
      <c r="L161" s="258"/>
      <c r="M161" s="272">
        <f>J161/K161*100</f>
        <v>58.650000000000006</v>
      </c>
      <c r="N161" s="250">
        <v>6</v>
      </c>
      <c r="O161" s="250">
        <v>4</v>
      </c>
      <c r="P161" s="250">
        <v>80000</v>
      </c>
      <c r="Q161" s="250">
        <f>P161*J161</f>
        <v>84456000</v>
      </c>
      <c r="R161" s="250">
        <f>Q161*3</f>
        <v>253368000</v>
      </c>
      <c r="S161" s="250">
        <f>N161*O161*17000*30</f>
        <v>12240000</v>
      </c>
      <c r="T161" s="250">
        <f>SUM(Q161:S162)</f>
        <v>350064000</v>
      </c>
      <c r="U161" s="82" t="s">
        <v>446</v>
      </c>
      <c r="V161" s="150"/>
      <c r="W161" s="150"/>
      <c r="X161" s="146" t="s">
        <v>0</v>
      </c>
      <c r="Y161" s="83">
        <v>1055</v>
      </c>
      <c r="Z161" s="62">
        <v>180000</v>
      </c>
      <c r="AA161" s="84"/>
      <c r="AB161" s="68">
        <v>1</v>
      </c>
      <c r="AC161" s="149">
        <f t="shared" si="25"/>
        <v>189900000</v>
      </c>
      <c r="AD161" s="250">
        <f>SUM(AC161:AC162)</f>
        <v>189900000</v>
      </c>
      <c r="AE161" s="251">
        <f>T161+AD161</f>
        <v>539964000</v>
      </c>
      <c r="AF161" s="31"/>
      <c r="AG161" s="81"/>
      <c r="AH161" s="81"/>
      <c r="AI161" s="81"/>
      <c r="AJ161" s="81"/>
      <c r="AK161" s="81"/>
    </row>
    <row r="162" spans="1:37" s="19" customFormat="1" ht="28.5" customHeight="1">
      <c r="A162" s="262"/>
      <c r="B162" s="263"/>
      <c r="C162" s="258"/>
      <c r="D162" s="258"/>
      <c r="E162" s="258"/>
      <c r="F162" s="258"/>
      <c r="G162" s="258"/>
      <c r="H162" s="256"/>
      <c r="I162" s="256"/>
      <c r="J162" s="256"/>
      <c r="K162" s="250"/>
      <c r="L162" s="258"/>
      <c r="M162" s="272"/>
      <c r="N162" s="250"/>
      <c r="O162" s="250"/>
      <c r="P162" s="250"/>
      <c r="Q162" s="250"/>
      <c r="R162" s="250"/>
      <c r="S162" s="250"/>
      <c r="T162" s="250"/>
      <c r="U162" s="145" t="s">
        <v>504</v>
      </c>
      <c r="V162" s="150"/>
      <c r="W162" s="150"/>
      <c r="X162" s="146" t="s">
        <v>399</v>
      </c>
      <c r="Y162" s="147">
        <v>1</v>
      </c>
      <c r="Z162" s="62"/>
      <c r="AA162" s="84"/>
      <c r="AB162" s="80">
        <v>0</v>
      </c>
      <c r="AC162" s="149">
        <f t="shared" si="25"/>
        <v>0</v>
      </c>
      <c r="AD162" s="250"/>
      <c r="AE162" s="251"/>
      <c r="AF162" s="31"/>
      <c r="AG162" s="81"/>
      <c r="AH162" s="81"/>
      <c r="AI162" s="81"/>
      <c r="AJ162" s="81"/>
      <c r="AK162" s="81"/>
    </row>
    <row r="163" spans="1:37" s="19" customFormat="1" ht="24" customHeight="1">
      <c r="A163" s="262">
        <v>21</v>
      </c>
      <c r="B163" s="271" t="s">
        <v>615</v>
      </c>
      <c r="C163" s="258" t="s">
        <v>39</v>
      </c>
      <c r="D163" s="258">
        <v>64</v>
      </c>
      <c r="E163" s="258">
        <v>488</v>
      </c>
      <c r="F163" s="258">
        <v>288.10000000000002</v>
      </c>
      <c r="G163" s="258" t="s">
        <v>28</v>
      </c>
      <c r="H163" s="250">
        <v>288</v>
      </c>
      <c r="I163" s="256">
        <f>F163-H163</f>
        <v>0.10000000000002274</v>
      </c>
      <c r="J163" s="270">
        <f>H163+H166</f>
        <v>839.7</v>
      </c>
      <c r="K163" s="250">
        <v>1080</v>
      </c>
      <c r="L163" s="250"/>
      <c r="M163" s="256">
        <f>J163/K163*100</f>
        <v>77.750000000000014</v>
      </c>
      <c r="N163" s="250">
        <v>12</v>
      </c>
      <c r="O163" s="250">
        <v>6</v>
      </c>
      <c r="P163" s="250">
        <v>80000</v>
      </c>
      <c r="Q163" s="250">
        <f>P163*J163</f>
        <v>67176000</v>
      </c>
      <c r="R163" s="250">
        <f>Q163*3</f>
        <v>201528000</v>
      </c>
      <c r="S163" s="250">
        <f>N163*O163*17000*30</f>
        <v>36720000</v>
      </c>
      <c r="T163" s="250">
        <f>SUM(Q163:S166)</f>
        <v>305424000</v>
      </c>
      <c r="U163" s="82" t="s">
        <v>556</v>
      </c>
      <c r="V163" s="150"/>
      <c r="W163" s="150"/>
      <c r="X163" s="146" t="s">
        <v>0</v>
      </c>
      <c r="Y163" s="83">
        <v>180</v>
      </c>
      <c r="Z163" s="62">
        <v>200000</v>
      </c>
      <c r="AA163" s="84"/>
      <c r="AB163" s="68">
        <v>1</v>
      </c>
      <c r="AC163" s="149">
        <f>Y163*Z163*AB163</f>
        <v>36000000</v>
      </c>
      <c r="AD163" s="250">
        <f>SUM(AC163:AC165)</f>
        <v>37200000</v>
      </c>
      <c r="AE163" s="251">
        <f>T163+AD163+AD166</f>
        <v>429024000</v>
      </c>
      <c r="AF163" s="31"/>
      <c r="AG163" s="81"/>
      <c r="AH163" s="81"/>
      <c r="AI163" s="81"/>
      <c r="AJ163" s="81"/>
      <c r="AK163" s="81"/>
    </row>
    <row r="164" spans="1:37" s="19" customFormat="1" ht="37.5" customHeight="1">
      <c r="A164" s="262"/>
      <c r="B164" s="271"/>
      <c r="C164" s="258"/>
      <c r="D164" s="258"/>
      <c r="E164" s="258"/>
      <c r="F164" s="258"/>
      <c r="G164" s="258"/>
      <c r="H164" s="250"/>
      <c r="I164" s="256"/>
      <c r="J164" s="270"/>
      <c r="K164" s="250"/>
      <c r="L164" s="250"/>
      <c r="M164" s="256"/>
      <c r="N164" s="250"/>
      <c r="O164" s="250"/>
      <c r="P164" s="250"/>
      <c r="Q164" s="250"/>
      <c r="R164" s="250"/>
      <c r="S164" s="250"/>
      <c r="T164" s="250"/>
      <c r="U164" s="65" t="s">
        <v>637</v>
      </c>
      <c r="V164" s="150">
        <v>10</v>
      </c>
      <c r="W164" s="150">
        <f>(H163-Y163)/V164</f>
        <v>10.8</v>
      </c>
      <c r="X164" s="146" t="s">
        <v>2</v>
      </c>
      <c r="Y164" s="149">
        <v>5</v>
      </c>
      <c r="Z164" s="62"/>
      <c r="AA164" s="79"/>
      <c r="AB164" s="80"/>
      <c r="AC164" s="149"/>
      <c r="AD164" s="250"/>
      <c r="AE164" s="251"/>
      <c r="AF164" s="31"/>
      <c r="AG164" s="81"/>
      <c r="AH164" s="81"/>
      <c r="AI164" s="81"/>
      <c r="AJ164" s="81"/>
      <c r="AK164" s="81"/>
    </row>
    <row r="165" spans="1:37" s="19" customFormat="1" ht="22.5" customHeight="1">
      <c r="A165" s="262"/>
      <c r="B165" s="271"/>
      <c r="C165" s="258"/>
      <c r="D165" s="258"/>
      <c r="E165" s="258"/>
      <c r="F165" s="258"/>
      <c r="G165" s="258"/>
      <c r="H165" s="250"/>
      <c r="I165" s="256"/>
      <c r="J165" s="270"/>
      <c r="K165" s="250"/>
      <c r="L165" s="250"/>
      <c r="M165" s="256"/>
      <c r="N165" s="250"/>
      <c r="O165" s="250"/>
      <c r="P165" s="250"/>
      <c r="Q165" s="250"/>
      <c r="R165" s="250"/>
      <c r="S165" s="250"/>
      <c r="T165" s="250"/>
      <c r="U165" s="67" t="s">
        <v>421</v>
      </c>
      <c r="V165" s="150"/>
      <c r="W165" s="150"/>
      <c r="X165" s="146" t="s">
        <v>2</v>
      </c>
      <c r="Y165" s="149">
        <v>5</v>
      </c>
      <c r="Z165" s="62">
        <v>240000</v>
      </c>
      <c r="AA165" s="79"/>
      <c r="AB165" s="80">
        <v>1</v>
      </c>
      <c r="AC165" s="149">
        <f t="shared" ref="AC165:AC166" si="26">Y165*Z165*AB165</f>
        <v>1200000</v>
      </c>
      <c r="AD165" s="250"/>
      <c r="AE165" s="251"/>
      <c r="AF165" s="31"/>
      <c r="AG165" s="81"/>
      <c r="AH165" s="81"/>
      <c r="AI165" s="81"/>
      <c r="AJ165" s="81"/>
      <c r="AK165" s="81"/>
    </row>
    <row r="166" spans="1:37" s="19" customFormat="1" ht="40.5" customHeight="1">
      <c r="A166" s="262"/>
      <c r="B166" s="271"/>
      <c r="C166" s="137"/>
      <c r="D166" s="137">
        <v>64</v>
      </c>
      <c r="E166" s="137">
        <v>820</v>
      </c>
      <c r="F166" s="137">
        <v>551.20000000000005</v>
      </c>
      <c r="G166" s="137" t="s">
        <v>28</v>
      </c>
      <c r="H166" s="70">
        <v>551.70000000000005</v>
      </c>
      <c r="I166" s="148">
        <f>F166-H166</f>
        <v>-0.5</v>
      </c>
      <c r="J166" s="270"/>
      <c r="K166" s="250"/>
      <c r="L166" s="250"/>
      <c r="M166" s="256"/>
      <c r="N166" s="250"/>
      <c r="O166" s="250"/>
      <c r="P166" s="250"/>
      <c r="Q166" s="250"/>
      <c r="R166" s="250"/>
      <c r="S166" s="250"/>
      <c r="T166" s="250"/>
      <c r="U166" s="82" t="s">
        <v>556</v>
      </c>
      <c r="V166" s="150"/>
      <c r="W166" s="150"/>
      <c r="X166" s="146" t="s">
        <v>0</v>
      </c>
      <c r="Y166" s="83">
        <v>432</v>
      </c>
      <c r="Z166" s="62">
        <v>200000</v>
      </c>
      <c r="AA166" s="84"/>
      <c r="AB166" s="68">
        <v>1</v>
      </c>
      <c r="AC166" s="149">
        <f t="shared" si="26"/>
        <v>86400000</v>
      </c>
      <c r="AD166" s="149">
        <f>SUM(AC166:AC166)</f>
        <v>86400000</v>
      </c>
      <c r="AE166" s="251"/>
      <c r="AF166" s="31"/>
      <c r="AG166" s="81"/>
      <c r="AH166" s="81"/>
      <c r="AI166" s="81"/>
      <c r="AJ166" s="81"/>
      <c r="AK166" s="81"/>
    </row>
    <row r="167" spans="1:37" s="28" customFormat="1" ht="32.25" customHeight="1">
      <c r="A167" s="262">
        <v>22</v>
      </c>
      <c r="B167" s="263" t="s">
        <v>662</v>
      </c>
      <c r="C167" s="137"/>
      <c r="D167" s="258">
        <v>64</v>
      </c>
      <c r="E167" s="258">
        <v>594</v>
      </c>
      <c r="F167" s="258">
        <v>180.1</v>
      </c>
      <c r="G167" s="258" t="s">
        <v>28</v>
      </c>
      <c r="H167" s="250">
        <v>180</v>
      </c>
      <c r="I167" s="256">
        <f>F167-H167</f>
        <v>9.9999999999994316E-2</v>
      </c>
      <c r="J167" s="268">
        <v>180</v>
      </c>
      <c r="K167" s="268">
        <v>1800</v>
      </c>
      <c r="L167" s="137"/>
      <c r="M167" s="269">
        <f>J167/K167*100</f>
        <v>10</v>
      </c>
      <c r="N167" s="264">
        <v>3</v>
      </c>
      <c r="O167" s="264">
        <v>3</v>
      </c>
      <c r="P167" s="264">
        <v>80000</v>
      </c>
      <c r="Q167" s="264">
        <f>P167*J167</f>
        <v>14400000</v>
      </c>
      <c r="R167" s="264">
        <f>Q167*3</f>
        <v>43200000</v>
      </c>
      <c r="S167" s="264">
        <f>N167*O167*17000*30</f>
        <v>4590000</v>
      </c>
      <c r="T167" s="264">
        <f>SUM(Q167:S178)</f>
        <v>62190000</v>
      </c>
      <c r="U167" s="65" t="s">
        <v>663</v>
      </c>
      <c r="V167" s="50">
        <v>10</v>
      </c>
      <c r="W167" s="50">
        <f>(J167-37)/V167</f>
        <v>14.3</v>
      </c>
      <c r="X167" s="146" t="s">
        <v>2</v>
      </c>
      <c r="Y167" s="149">
        <v>30</v>
      </c>
      <c r="Z167" s="62"/>
      <c r="AA167" s="79"/>
      <c r="AB167" s="80"/>
      <c r="AC167" s="149">
        <f>Y167*Z167*AB167</f>
        <v>0</v>
      </c>
      <c r="AD167" s="250">
        <f>SUM(AC167:AC178)</f>
        <v>4836000</v>
      </c>
      <c r="AE167" s="251">
        <f>T167+AD167</f>
        <v>67026000</v>
      </c>
      <c r="AF167" s="103">
        <f>Y167*10</f>
        <v>300</v>
      </c>
      <c r="AG167" s="265" t="s">
        <v>664</v>
      </c>
      <c r="AH167" s="103" t="s">
        <v>398</v>
      </c>
      <c r="AI167" s="259" t="s">
        <v>665</v>
      </c>
      <c r="AJ167" s="253" t="s">
        <v>681</v>
      </c>
      <c r="AK167" s="103"/>
    </row>
    <row r="168" spans="1:37" s="28" customFormat="1" ht="19.5" customHeight="1">
      <c r="A168" s="262"/>
      <c r="B168" s="263"/>
      <c r="C168" s="137"/>
      <c r="D168" s="258"/>
      <c r="E168" s="258"/>
      <c r="F168" s="258"/>
      <c r="G168" s="258"/>
      <c r="H168" s="250"/>
      <c r="I168" s="256"/>
      <c r="J168" s="268"/>
      <c r="K168" s="268"/>
      <c r="L168" s="137"/>
      <c r="M168" s="269"/>
      <c r="N168" s="264"/>
      <c r="O168" s="264"/>
      <c r="P168" s="264"/>
      <c r="Q168" s="264"/>
      <c r="R168" s="264"/>
      <c r="S168" s="264"/>
      <c r="T168" s="264"/>
      <c r="U168" s="67" t="s">
        <v>421</v>
      </c>
      <c r="V168" s="50"/>
      <c r="W168" s="50"/>
      <c r="X168" s="146" t="s">
        <v>2</v>
      </c>
      <c r="Y168" s="149">
        <v>14</v>
      </c>
      <c r="Z168" s="62">
        <v>240000</v>
      </c>
      <c r="AA168" s="79"/>
      <c r="AB168" s="80">
        <v>1</v>
      </c>
      <c r="AC168" s="149">
        <f>Y168*Z168*AB168</f>
        <v>3360000</v>
      </c>
      <c r="AD168" s="250"/>
      <c r="AE168" s="251"/>
      <c r="AF168" s="103"/>
      <c r="AG168" s="266"/>
      <c r="AH168" s="103"/>
      <c r="AI168" s="260"/>
      <c r="AJ168" s="254"/>
      <c r="AK168" s="103"/>
    </row>
    <row r="169" spans="1:37" s="28" customFormat="1" ht="19.5" customHeight="1">
      <c r="A169" s="262"/>
      <c r="B169" s="263"/>
      <c r="C169" s="137"/>
      <c r="D169" s="258"/>
      <c r="E169" s="258"/>
      <c r="F169" s="258"/>
      <c r="G169" s="258"/>
      <c r="H169" s="250"/>
      <c r="I169" s="256"/>
      <c r="J169" s="268"/>
      <c r="K169" s="268"/>
      <c r="L169" s="137"/>
      <c r="M169" s="269"/>
      <c r="N169" s="264"/>
      <c r="O169" s="264"/>
      <c r="P169" s="264"/>
      <c r="Q169" s="264"/>
      <c r="R169" s="264"/>
      <c r="S169" s="264"/>
      <c r="T169" s="264"/>
      <c r="U169" s="67" t="s">
        <v>423</v>
      </c>
      <c r="V169" s="50"/>
      <c r="W169" s="50">
        <f>0.3*(40-14)</f>
        <v>7.8</v>
      </c>
      <c r="X169" s="146" t="s">
        <v>2</v>
      </c>
      <c r="Y169" s="149">
        <v>8</v>
      </c>
      <c r="Z169" s="62">
        <v>240000</v>
      </c>
      <c r="AA169" s="79"/>
      <c r="AB169" s="80">
        <v>0.3</v>
      </c>
      <c r="AC169" s="149">
        <f>Y169*Z169*AB169</f>
        <v>576000</v>
      </c>
      <c r="AD169" s="250"/>
      <c r="AE169" s="251"/>
      <c r="AF169" s="103"/>
      <c r="AG169" s="266"/>
      <c r="AH169" s="103"/>
      <c r="AI169" s="260"/>
      <c r="AJ169" s="254"/>
      <c r="AK169" s="103"/>
    </row>
    <row r="170" spans="1:37" s="28" customFormat="1" ht="19.5" customHeight="1">
      <c r="A170" s="262"/>
      <c r="B170" s="263"/>
      <c r="C170" s="137"/>
      <c r="D170" s="258"/>
      <c r="E170" s="258"/>
      <c r="F170" s="258"/>
      <c r="G170" s="258"/>
      <c r="H170" s="250"/>
      <c r="I170" s="256"/>
      <c r="J170" s="268"/>
      <c r="K170" s="268"/>
      <c r="L170" s="137"/>
      <c r="M170" s="269"/>
      <c r="N170" s="264"/>
      <c r="O170" s="264"/>
      <c r="P170" s="264"/>
      <c r="Q170" s="264"/>
      <c r="R170" s="264"/>
      <c r="S170" s="264"/>
      <c r="T170" s="264"/>
      <c r="U170" s="67" t="s">
        <v>424</v>
      </c>
      <c r="V170" s="50"/>
      <c r="W170" s="50"/>
      <c r="X170" s="146" t="s">
        <v>2</v>
      </c>
      <c r="Y170" s="149">
        <f>Y167-Y168-Y169</f>
        <v>8</v>
      </c>
      <c r="Z170" s="62">
        <v>240000</v>
      </c>
      <c r="AA170" s="79"/>
      <c r="AB170" s="80">
        <v>0</v>
      </c>
      <c r="AC170" s="149">
        <f t="shared" ref="AC170" si="27">Y170*Z170*AB170/100</f>
        <v>0</v>
      </c>
      <c r="AD170" s="250"/>
      <c r="AE170" s="251"/>
      <c r="AF170" s="103"/>
      <c r="AG170" s="266"/>
      <c r="AH170" s="103"/>
      <c r="AI170" s="260"/>
      <c r="AJ170" s="254"/>
      <c r="AK170" s="103"/>
    </row>
    <row r="171" spans="1:37" s="28" customFormat="1" ht="36.75" customHeight="1">
      <c r="A171" s="262"/>
      <c r="B171" s="263"/>
      <c r="C171" s="137"/>
      <c r="D171" s="258"/>
      <c r="E171" s="258"/>
      <c r="F171" s="258"/>
      <c r="G171" s="258"/>
      <c r="H171" s="250"/>
      <c r="I171" s="256"/>
      <c r="J171" s="268"/>
      <c r="K171" s="268"/>
      <c r="L171" s="137"/>
      <c r="M171" s="269"/>
      <c r="N171" s="264"/>
      <c r="O171" s="264"/>
      <c r="P171" s="264"/>
      <c r="Q171" s="264"/>
      <c r="R171" s="264"/>
      <c r="S171" s="264"/>
      <c r="T171" s="264"/>
      <c r="U171" s="65" t="s">
        <v>666</v>
      </c>
      <c r="V171" s="50"/>
      <c r="W171" s="50"/>
      <c r="X171" s="146" t="s">
        <v>2</v>
      </c>
      <c r="Y171" s="149">
        <v>10</v>
      </c>
      <c r="Z171" s="62"/>
      <c r="AA171" s="79"/>
      <c r="AB171" s="80"/>
      <c r="AC171" s="149">
        <f>Y171*Z171*AB171</f>
        <v>0</v>
      </c>
      <c r="AD171" s="250"/>
      <c r="AE171" s="251"/>
      <c r="AF171" s="103"/>
      <c r="AG171" s="266"/>
      <c r="AH171" s="103"/>
      <c r="AI171" s="260"/>
      <c r="AJ171" s="254"/>
      <c r="AK171" s="103"/>
    </row>
    <row r="172" spans="1:37" s="28" customFormat="1" ht="22.5" customHeight="1">
      <c r="A172" s="262"/>
      <c r="B172" s="263"/>
      <c r="C172" s="137"/>
      <c r="D172" s="258"/>
      <c r="E172" s="258"/>
      <c r="F172" s="258"/>
      <c r="G172" s="258"/>
      <c r="H172" s="250"/>
      <c r="I172" s="256"/>
      <c r="J172" s="268"/>
      <c r="K172" s="268"/>
      <c r="L172" s="137"/>
      <c r="M172" s="269"/>
      <c r="N172" s="264"/>
      <c r="O172" s="264"/>
      <c r="P172" s="264"/>
      <c r="Q172" s="264"/>
      <c r="R172" s="264"/>
      <c r="S172" s="264"/>
      <c r="T172" s="264"/>
      <c r="U172" s="67" t="s">
        <v>424</v>
      </c>
      <c r="V172" s="50"/>
      <c r="W172" s="50"/>
      <c r="X172" s="146" t="s">
        <v>2</v>
      </c>
      <c r="Y172" s="149">
        <v>10</v>
      </c>
      <c r="Z172" s="62">
        <v>95000</v>
      </c>
      <c r="AA172" s="79"/>
      <c r="AB172" s="80">
        <v>0</v>
      </c>
      <c r="AC172" s="149">
        <f>Y172*Z172*AB172</f>
        <v>0</v>
      </c>
      <c r="AD172" s="250"/>
      <c r="AE172" s="251"/>
      <c r="AF172" s="103"/>
      <c r="AG172" s="266"/>
      <c r="AH172" s="103"/>
      <c r="AI172" s="260"/>
      <c r="AJ172" s="254"/>
      <c r="AK172" s="103"/>
    </row>
    <row r="173" spans="1:37" s="28" customFormat="1" ht="32.25" customHeight="1">
      <c r="A173" s="262"/>
      <c r="B173" s="263"/>
      <c r="C173" s="137"/>
      <c r="D173" s="258"/>
      <c r="E173" s="258"/>
      <c r="F173" s="258"/>
      <c r="G173" s="258"/>
      <c r="H173" s="250"/>
      <c r="I173" s="256"/>
      <c r="J173" s="268"/>
      <c r="K173" s="268"/>
      <c r="L173" s="137"/>
      <c r="M173" s="269"/>
      <c r="N173" s="264"/>
      <c r="O173" s="264"/>
      <c r="P173" s="264"/>
      <c r="Q173" s="264"/>
      <c r="R173" s="264"/>
      <c r="S173" s="264"/>
      <c r="T173" s="264"/>
      <c r="U173" s="65" t="s">
        <v>667</v>
      </c>
      <c r="V173" s="50">
        <v>20</v>
      </c>
      <c r="W173" s="50">
        <f>0.3*J167/V173</f>
        <v>2.7</v>
      </c>
      <c r="X173" s="146" t="s">
        <v>2</v>
      </c>
      <c r="Y173" s="149">
        <v>1</v>
      </c>
      <c r="Z173" s="62"/>
      <c r="AA173" s="79"/>
      <c r="AB173" s="80"/>
      <c r="AC173" s="149">
        <f>Y173*Z173*AB173</f>
        <v>0</v>
      </c>
      <c r="AD173" s="250"/>
      <c r="AE173" s="251"/>
      <c r="AF173" s="103"/>
      <c r="AG173" s="266"/>
      <c r="AH173" s="103" t="s">
        <v>668</v>
      </c>
      <c r="AI173" s="260"/>
      <c r="AJ173" s="254"/>
      <c r="AK173" s="103"/>
    </row>
    <row r="174" spans="1:37" s="28" customFormat="1" ht="26.25" customHeight="1">
      <c r="A174" s="262"/>
      <c r="B174" s="263"/>
      <c r="C174" s="137"/>
      <c r="D174" s="258"/>
      <c r="E174" s="258"/>
      <c r="F174" s="258"/>
      <c r="G174" s="258"/>
      <c r="H174" s="250"/>
      <c r="I174" s="256"/>
      <c r="J174" s="268"/>
      <c r="K174" s="268"/>
      <c r="L174" s="137"/>
      <c r="M174" s="269"/>
      <c r="N174" s="264"/>
      <c r="O174" s="264"/>
      <c r="P174" s="264"/>
      <c r="Q174" s="264"/>
      <c r="R174" s="264"/>
      <c r="S174" s="264"/>
      <c r="T174" s="264"/>
      <c r="U174" s="67" t="s">
        <v>669</v>
      </c>
      <c r="V174" s="50"/>
      <c r="W174" s="50"/>
      <c r="X174" s="146" t="s">
        <v>2</v>
      </c>
      <c r="Y174" s="149">
        <v>1</v>
      </c>
      <c r="Z174" s="62">
        <v>3000000</v>
      </c>
      <c r="AA174" s="79"/>
      <c r="AB174" s="80">
        <v>0.3</v>
      </c>
      <c r="AC174" s="149">
        <f>Y174*Z174*AB174</f>
        <v>900000</v>
      </c>
      <c r="AD174" s="250"/>
      <c r="AE174" s="251"/>
      <c r="AF174" s="103"/>
      <c r="AG174" s="266"/>
      <c r="AH174" s="103"/>
      <c r="AI174" s="260"/>
      <c r="AJ174" s="254"/>
      <c r="AK174" s="103"/>
    </row>
    <row r="175" spans="1:37" s="28" customFormat="1" ht="56.25" customHeight="1">
      <c r="A175" s="262"/>
      <c r="B175" s="263"/>
      <c r="C175" s="137"/>
      <c r="D175" s="258"/>
      <c r="E175" s="258"/>
      <c r="F175" s="258"/>
      <c r="G175" s="258"/>
      <c r="H175" s="250"/>
      <c r="I175" s="256"/>
      <c r="J175" s="268"/>
      <c r="K175" s="268"/>
      <c r="L175" s="137"/>
      <c r="M175" s="269"/>
      <c r="N175" s="264"/>
      <c r="O175" s="264"/>
      <c r="P175" s="264"/>
      <c r="Q175" s="264"/>
      <c r="R175" s="264"/>
      <c r="S175" s="264"/>
      <c r="T175" s="264"/>
      <c r="U175" s="144" t="s">
        <v>670</v>
      </c>
      <c r="V175" s="146"/>
      <c r="W175" s="146"/>
      <c r="X175" s="146" t="s">
        <v>6</v>
      </c>
      <c r="Y175" s="147">
        <v>76</v>
      </c>
      <c r="Z175" s="136"/>
      <c r="AA175" s="79"/>
      <c r="AB175" s="80">
        <v>0</v>
      </c>
      <c r="AC175" s="149">
        <f t="shared" ref="AC175:AC178" si="28">Y175*Z175*AB175/100</f>
        <v>0</v>
      </c>
      <c r="AD175" s="250"/>
      <c r="AE175" s="251"/>
      <c r="AF175" s="103"/>
      <c r="AG175" s="266"/>
      <c r="AH175" s="103"/>
      <c r="AI175" s="260"/>
      <c r="AJ175" s="254"/>
      <c r="AK175" s="103"/>
    </row>
    <row r="176" spans="1:37" s="28" customFormat="1" ht="31.5" customHeight="1">
      <c r="A176" s="262"/>
      <c r="B176" s="263"/>
      <c r="C176" s="137"/>
      <c r="D176" s="258"/>
      <c r="E176" s="258"/>
      <c r="F176" s="258"/>
      <c r="G176" s="258"/>
      <c r="H176" s="250"/>
      <c r="I176" s="256"/>
      <c r="J176" s="268"/>
      <c r="K176" s="268"/>
      <c r="L176" s="137"/>
      <c r="M176" s="269"/>
      <c r="N176" s="264"/>
      <c r="O176" s="264"/>
      <c r="P176" s="264"/>
      <c r="Q176" s="264"/>
      <c r="R176" s="264"/>
      <c r="S176" s="264"/>
      <c r="T176" s="264"/>
      <c r="U176" s="145" t="s">
        <v>671</v>
      </c>
      <c r="V176" s="146"/>
      <c r="W176" s="146"/>
      <c r="X176" s="41" t="s">
        <v>8</v>
      </c>
      <c r="Y176" s="147">
        <v>0.64</v>
      </c>
      <c r="Z176" s="136"/>
      <c r="AA176" s="79"/>
      <c r="AB176" s="80">
        <v>0</v>
      </c>
      <c r="AC176" s="149">
        <f t="shared" si="28"/>
        <v>0</v>
      </c>
      <c r="AD176" s="250"/>
      <c r="AE176" s="251"/>
      <c r="AF176" s="103"/>
      <c r="AG176" s="266"/>
      <c r="AH176" s="103"/>
      <c r="AI176" s="260"/>
      <c r="AJ176" s="254"/>
      <c r="AK176" s="103"/>
    </row>
    <row r="177" spans="1:37" s="28" customFormat="1" ht="21" customHeight="1">
      <c r="A177" s="262"/>
      <c r="B177" s="263"/>
      <c r="C177" s="137"/>
      <c r="D177" s="258"/>
      <c r="E177" s="258"/>
      <c r="F177" s="258"/>
      <c r="G177" s="258"/>
      <c r="H177" s="250"/>
      <c r="I177" s="256"/>
      <c r="J177" s="268"/>
      <c r="K177" s="268"/>
      <c r="L177" s="137"/>
      <c r="M177" s="269"/>
      <c r="N177" s="264"/>
      <c r="O177" s="264"/>
      <c r="P177" s="264"/>
      <c r="Q177" s="264"/>
      <c r="R177" s="264"/>
      <c r="S177" s="264"/>
      <c r="T177" s="264"/>
      <c r="U177" s="145" t="s">
        <v>672</v>
      </c>
      <c r="V177" s="146"/>
      <c r="W177" s="146"/>
      <c r="X177" s="146" t="s">
        <v>6</v>
      </c>
      <c r="Y177" s="147">
        <v>37</v>
      </c>
      <c r="Z177" s="136"/>
      <c r="AA177" s="79"/>
      <c r="AB177" s="80">
        <v>0</v>
      </c>
      <c r="AC177" s="149"/>
      <c r="AD177" s="250"/>
      <c r="AE177" s="251"/>
      <c r="AF177" s="103"/>
      <c r="AG177" s="266"/>
      <c r="AH177" s="103"/>
      <c r="AI177" s="260"/>
      <c r="AJ177" s="254"/>
      <c r="AK177" s="103"/>
    </row>
    <row r="178" spans="1:37" s="28" customFormat="1" ht="55.5" customHeight="1">
      <c r="A178" s="262"/>
      <c r="B178" s="263"/>
      <c r="C178" s="146" t="s">
        <v>33</v>
      </c>
      <c r="D178" s="258"/>
      <c r="E178" s="258"/>
      <c r="F178" s="258"/>
      <c r="G178" s="258"/>
      <c r="H178" s="250"/>
      <c r="I178" s="256"/>
      <c r="J178" s="268"/>
      <c r="K178" s="268"/>
      <c r="L178" s="146"/>
      <c r="M178" s="269"/>
      <c r="N178" s="264"/>
      <c r="O178" s="264"/>
      <c r="P178" s="264"/>
      <c r="Q178" s="264"/>
      <c r="R178" s="264"/>
      <c r="S178" s="264"/>
      <c r="T178" s="264"/>
      <c r="U178" s="145" t="s">
        <v>673</v>
      </c>
      <c r="V178" s="146"/>
      <c r="W178" s="146"/>
      <c r="X178" s="146" t="s">
        <v>6</v>
      </c>
      <c r="Y178" s="147">
        <v>6</v>
      </c>
      <c r="Z178" s="136"/>
      <c r="AA178" s="79"/>
      <c r="AB178" s="80">
        <v>0</v>
      </c>
      <c r="AC178" s="149">
        <f t="shared" si="28"/>
        <v>0</v>
      </c>
      <c r="AD178" s="250"/>
      <c r="AE178" s="251"/>
      <c r="AF178" s="103"/>
      <c r="AG178" s="267"/>
      <c r="AH178" s="103"/>
      <c r="AI178" s="261"/>
      <c r="AJ178" s="255"/>
      <c r="AK178" s="103"/>
    </row>
    <row r="179" spans="1:37" s="28" customFormat="1" ht="39" customHeight="1">
      <c r="A179" s="262">
        <v>23</v>
      </c>
      <c r="B179" s="263" t="s">
        <v>674</v>
      </c>
      <c r="C179" s="258" t="s">
        <v>39</v>
      </c>
      <c r="D179" s="258">
        <v>64</v>
      </c>
      <c r="E179" s="258">
        <v>486</v>
      </c>
      <c r="F179" s="258">
        <v>1093.3</v>
      </c>
      <c r="G179" s="258" t="s">
        <v>28</v>
      </c>
      <c r="H179" s="256">
        <v>1093.5</v>
      </c>
      <c r="I179" s="256">
        <f>F179-H179</f>
        <v>-0.20000000000004547</v>
      </c>
      <c r="J179" s="257">
        <v>1093.3</v>
      </c>
      <c r="K179" s="251">
        <v>1800</v>
      </c>
      <c r="L179" s="258"/>
      <c r="M179" s="258">
        <f>J179/K179*100</f>
        <v>60.738888888888887</v>
      </c>
      <c r="N179" s="250">
        <v>6</v>
      </c>
      <c r="O179" s="250">
        <v>4</v>
      </c>
      <c r="P179" s="250">
        <v>80000</v>
      </c>
      <c r="Q179" s="250">
        <f>P179*J179</f>
        <v>87464000</v>
      </c>
      <c r="R179" s="250">
        <f>Q179*3</f>
        <v>262392000</v>
      </c>
      <c r="S179" s="250">
        <f>N179*O179*17000*30</f>
        <v>12240000</v>
      </c>
      <c r="T179" s="250">
        <f>SUM(Q179:S190)</f>
        <v>362096000</v>
      </c>
      <c r="U179" s="65" t="s">
        <v>457</v>
      </c>
      <c r="V179" s="50">
        <v>25</v>
      </c>
      <c r="W179" s="50">
        <f>J179/V179</f>
        <v>43.731999999999999</v>
      </c>
      <c r="X179" s="146" t="s">
        <v>2</v>
      </c>
      <c r="Y179" s="149">
        <v>15</v>
      </c>
      <c r="Z179" s="62"/>
      <c r="AA179" s="79"/>
      <c r="AB179" s="80"/>
      <c r="AC179" s="149">
        <f t="shared" ref="AC179:AC190" si="29">Y179*Z179*AB179</f>
        <v>0</v>
      </c>
      <c r="AD179" s="250">
        <f>SUM(AC179:AC190)</f>
        <v>180100000</v>
      </c>
      <c r="AE179" s="251">
        <f>T179+AD179</f>
        <v>542196000</v>
      </c>
      <c r="AF179" s="104">
        <f>Y179*25</f>
        <v>375</v>
      </c>
      <c r="AG179" s="103" t="s">
        <v>513</v>
      </c>
      <c r="AH179" s="103"/>
      <c r="AI179" s="252" t="s">
        <v>675</v>
      </c>
      <c r="AJ179" s="253" t="s">
        <v>681</v>
      </c>
      <c r="AK179" s="103"/>
    </row>
    <row r="180" spans="1:37" s="28" customFormat="1" ht="21" customHeight="1">
      <c r="A180" s="262"/>
      <c r="B180" s="263"/>
      <c r="C180" s="258"/>
      <c r="D180" s="258"/>
      <c r="E180" s="258"/>
      <c r="F180" s="258"/>
      <c r="G180" s="258"/>
      <c r="H180" s="256"/>
      <c r="I180" s="256"/>
      <c r="J180" s="257"/>
      <c r="K180" s="251"/>
      <c r="L180" s="258"/>
      <c r="M180" s="258"/>
      <c r="N180" s="250"/>
      <c r="O180" s="250"/>
      <c r="P180" s="250"/>
      <c r="Q180" s="250"/>
      <c r="R180" s="250"/>
      <c r="S180" s="250"/>
      <c r="T180" s="250"/>
      <c r="U180" s="67" t="s">
        <v>421</v>
      </c>
      <c r="V180" s="50"/>
      <c r="W180" s="50"/>
      <c r="X180" s="146" t="s">
        <v>2</v>
      </c>
      <c r="Y180" s="149">
        <v>15</v>
      </c>
      <c r="Z180" s="62">
        <v>4500000</v>
      </c>
      <c r="AA180" s="79"/>
      <c r="AB180" s="80">
        <v>1</v>
      </c>
      <c r="AC180" s="149">
        <f t="shared" si="29"/>
        <v>67500000</v>
      </c>
      <c r="AD180" s="250"/>
      <c r="AE180" s="251"/>
      <c r="AF180" s="104"/>
      <c r="AG180" s="103"/>
      <c r="AH180" s="103"/>
      <c r="AI180" s="252"/>
      <c r="AJ180" s="254"/>
      <c r="AK180" s="103"/>
    </row>
    <row r="181" spans="1:37" s="28" customFormat="1" ht="33" customHeight="1">
      <c r="A181" s="262"/>
      <c r="B181" s="263"/>
      <c r="C181" s="258"/>
      <c r="D181" s="258"/>
      <c r="E181" s="258"/>
      <c r="F181" s="258"/>
      <c r="G181" s="258"/>
      <c r="H181" s="256"/>
      <c r="I181" s="256"/>
      <c r="J181" s="257"/>
      <c r="K181" s="251"/>
      <c r="L181" s="258"/>
      <c r="M181" s="258"/>
      <c r="N181" s="250"/>
      <c r="O181" s="250"/>
      <c r="P181" s="250"/>
      <c r="Q181" s="250"/>
      <c r="R181" s="250"/>
      <c r="S181" s="250"/>
      <c r="T181" s="250"/>
      <c r="U181" s="65" t="s">
        <v>453</v>
      </c>
      <c r="V181" s="50"/>
      <c r="W181" s="50"/>
      <c r="X181" s="146" t="s">
        <v>2</v>
      </c>
      <c r="Y181" s="149">
        <v>22</v>
      </c>
      <c r="Z181" s="62"/>
      <c r="AA181" s="79"/>
      <c r="AB181" s="80"/>
      <c r="AC181" s="149">
        <f t="shared" si="29"/>
        <v>0</v>
      </c>
      <c r="AD181" s="250"/>
      <c r="AE181" s="251"/>
      <c r="AF181" s="104">
        <f t="shared" ref="AF181:AF183" si="30">Y181*25</f>
        <v>550</v>
      </c>
      <c r="AG181" s="103"/>
      <c r="AH181" s="103"/>
      <c r="AI181" s="252"/>
      <c r="AJ181" s="254"/>
      <c r="AK181" s="103"/>
    </row>
    <row r="182" spans="1:37" s="28" customFormat="1" ht="30" customHeight="1">
      <c r="A182" s="262"/>
      <c r="B182" s="263"/>
      <c r="C182" s="258"/>
      <c r="D182" s="258"/>
      <c r="E182" s="258"/>
      <c r="F182" s="258"/>
      <c r="G182" s="258"/>
      <c r="H182" s="256"/>
      <c r="I182" s="256"/>
      <c r="J182" s="257"/>
      <c r="K182" s="251"/>
      <c r="L182" s="258"/>
      <c r="M182" s="258"/>
      <c r="N182" s="250"/>
      <c r="O182" s="250"/>
      <c r="P182" s="250"/>
      <c r="Q182" s="250"/>
      <c r="R182" s="250"/>
      <c r="S182" s="250"/>
      <c r="T182" s="250"/>
      <c r="U182" s="67" t="s">
        <v>421</v>
      </c>
      <c r="V182" s="50"/>
      <c r="W182" s="50"/>
      <c r="X182" s="146" t="s">
        <v>2</v>
      </c>
      <c r="Y182" s="149">
        <v>22</v>
      </c>
      <c r="Z182" s="62">
        <v>3850000</v>
      </c>
      <c r="AA182" s="79"/>
      <c r="AB182" s="80">
        <v>1</v>
      </c>
      <c r="AC182" s="149">
        <f t="shared" si="29"/>
        <v>84700000</v>
      </c>
      <c r="AD182" s="250"/>
      <c r="AE182" s="251"/>
      <c r="AF182" s="104"/>
      <c r="AG182" s="103"/>
      <c r="AH182" s="103"/>
      <c r="AI182" s="252"/>
      <c r="AJ182" s="254"/>
      <c r="AK182" s="103"/>
    </row>
    <row r="183" spans="1:37" s="28" customFormat="1" ht="55.5" customHeight="1">
      <c r="A183" s="262"/>
      <c r="B183" s="263"/>
      <c r="C183" s="258"/>
      <c r="D183" s="258"/>
      <c r="E183" s="258"/>
      <c r="F183" s="258"/>
      <c r="G183" s="258"/>
      <c r="H183" s="256"/>
      <c r="I183" s="256"/>
      <c r="J183" s="257"/>
      <c r="K183" s="251"/>
      <c r="L183" s="258"/>
      <c r="M183" s="258"/>
      <c r="N183" s="250"/>
      <c r="O183" s="250"/>
      <c r="P183" s="250"/>
      <c r="Q183" s="250"/>
      <c r="R183" s="250"/>
      <c r="S183" s="250"/>
      <c r="T183" s="250"/>
      <c r="U183" s="65" t="s">
        <v>676</v>
      </c>
      <c r="V183" s="50"/>
      <c r="W183" s="50"/>
      <c r="X183" s="146" t="s">
        <v>2</v>
      </c>
      <c r="Y183" s="149">
        <v>7</v>
      </c>
      <c r="Z183" s="62"/>
      <c r="AA183" s="79"/>
      <c r="AB183" s="80"/>
      <c r="AC183" s="149">
        <f t="shared" si="29"/>
        <v>0</v>
      </c>
      <c r="AD183" s="250"/>
      <c r="AE183" s="251"/>
      <c r="AF183" s="104">
        <f t="shared" si="30"/>
        <v>175</v>
      </c>
      <c r="AG183" s="103"/>
      <c r="AH183" s="103"/>
      <c r="AI183" s="252"/>
      <c r="AJ183" s="254"/>
      <c r="AK183" s="103"/>
    </row>
    <row r="184" spans="1:37" s="28" customFormat="1" ht="32.25" customHeight="1">
      <c r="A184" s="262"/>
      <c r="B184" s="263"/>
      <c r="C184" s="258"/>
      <c r="D184" s="258"/>
      <c r="E184" s="258"/>
      <c r="F184" s="258"/>
      <c r="G184" s="258"/>
      <c r="H184" s="256"/>
      <c r="I184" s="256"/>
      <c r="J184" s="257"/>
      <c r="K184" s="251"/>
      <c r="L184" s="258"/>
      <c r="M184" s="258"/>
      <c r="N184" s="250"/>
      <c r="O184" s="250"/>
      <c r="P184" s="250"/>
      <c r="Q184" s="250"/>
      <c r="R184" s="250"/>
      <c r="S184" s="250"/>
      <c r="T184" s="250"/>
      <c r="U184" s="67" t="s">
        <v>421</v>
      </c>
      <c r="V184" s="50"/>
      <c r="W184" s="50"/>
      <c r="X184" s="146" t="s">
        <v>2</v>
      </c>
      <c r="Y184" s="149">
        <v>7</v>
      </c>
      <c r="Z184" s="62">
        <v>2700000</v>
      </c>
      <c r="AA184" s="79"/>
      <c r="AB184" s="80">
        <v>1</v>
      </c>
      <c r="AC184" s="149">
        <f t="shared" si="29"/>
        <v>18900000</v>
      </c>
      <c r="AD184" s="250"/>
      <c r="AE184" s="251"/>
      <c r="AF184" s="104"/>
      <c r="AG184" s="103"/>
      <c r="AH184" s="103"/>
      <c r="AI184" s="252"/>
      <c r="AJ184" s="254"/>
      <c r="AK184" s="103"/>
    </row>
    <row r="185" spans="1:37" s="28" customFormat="1" ht="55.5" customHeight="1">
      <c r="A185" s="262"/>
      <c r="B185" s="263"/>
      <c r="C185" s="258"/>
      <c r="D185" s="258"/>
      <c r="E185" s="258"/>
      <c r="F185" s="258"/>
      <c r="G185" s="258"/>
      <c r="H185" s="256"/>
      <c r="I185" s="256"/>
      <c r="J185" s="257"/>
      <c r="K185" s="251"/>
      <c r="L185" s="258"/>
      <c r="M185" s="258"/>
      <c r="N185" s="250"/>
      <c r="O185" s="250"/>
      <c r="P185" s="250"/>
      <c r="Q185" s="250"/>
      <c r="R185" s="250"/>
      <c r="S185" s="250"/>
      <c r="T185" s="250"/>
      <c r="U185" s="65" t="s">
        <v>459</v>
      </c>
      <c r="V185" s="50">
        <v>20</v>
      </c>
      <c r="W185" s="50">
        <f>J179/V185</f>
        <v>54.664999999999999</v>
      </c>
      <c r="X185" s="146" t="s">
        <v>2</v>
      </c>
      <c r="Y185" s="149">
        <v>12</v>
      </c>
      <c r="Z185" s="62"/>
      <c r="AA185" s="79"/>
      <c r="AB185" s="80"/>
      <c r="AC185" s="149">
        <f t="shared" si="29"/>
        <v>0</v>
      </c>
      <c r="AD185" s="250"/>
      <c r="AE185" s="251"/>
      <c r="AF185" s="104"/>
      <c r="AG185" s="103"/>
      <c r="AH185" s="103"/>
      <c r="AI185" s="252"/>
      <c r="AJ185" s="254"/>
      <c r="AK185" s="103"/>
    </row>
    <row r="186" spans="1:37" s="28" customFormat="1" ht="31.5" customHeight="1">
      <c r="A186" s="262"/>
      <c r="B186" s="263"/>
      <c r="C186" s="258"/>
      <c r="D186" s="258"/>
      <c r="E186" s="258"/>
      <c r="F186" s="258"/>
      <c r="G186" s="258"/>
      <c r="H186" s="256"/>
      <c r="I186" s="256"/>
      <c r="J186" s="257"/>
      <c r="K186" s="251"/>
      <c r="L186" s="258"/>
      <c r="M186" s="258"/>
      <c r="N186" s="250"/>
      <c r="O186" s="250"/>
      <c r="P186" s="250"/>
      <c r="Q186" s="250"/>
      <c r="R186" s="250"/>
      <c r="S186" s="250"/>
      <c r="T186" s="250"/>
      <c r="U186" s="67" t="s">
        <v>421</v>
      </c>
      <c r="V186" s="50"/>
      <c r="W186" s="50"/>
      <c r="X186" s="146" t="s">
        <v>2</v>
      </c>
      <c r="Y186" s="149">
        <v>12</v>
      </c>
      <c r="Z186" s="62">
        <v>2500000</v>
      </c>
      <c r="AA186" s="79"/>
      <c r="AB186" s="80">
        <v>0.3</v>
      </c>
      <c r="AC186" s="149">
        <f t="shared" si="29"/>
        <v>9000000</v>
      </c>
      <c r="AD186" s="250"/>
      <c r="AE186" s="251"/>
      <c r="AF186" s="104"/>
      <c r="AG186" s="103"/>
      <c r="AH186" s="103"/>
      <c r="AI186" s="252"/>
      <c r="AJ186" s="254"/>
      <c r="AK186" s="103"/>
    </row>
    <row r="187" spans="1:37" s="28" customFormat="1" ht="55.5" customHeight="1">
      <c r="A187" s="262"/>
      <c r="B187" s="263"/>
      <c r="C187" s="258"/>
      <c r="D187" s="258"/>
      <c r="E187" s="258"/>
      <c r="F187" s="258"/>
      <c r="G187" s="258"/>
      <c r="H187" s="256"/>
      <c r="I187" s="256"/>
      <c r="J187" s="257"/>
      <c r="K187" s="251"/>
      <c r="L187" s="258"/>
      <c r="M187" s="258"/>
      <c r="N187" s="250"/>
      <c r="O187" s="250"/>
      <c r="P187" s="250"/>
      <c r="Q187" s="250"/>
      <c r="R187" s="250"/>
      <c r="S187" s="250"/>
      <c r="T187" s="250"/>
      <c r="U187" s="65" t="s">
        <v>677</v>
      </c>
      <c r="V187" s="50">
        <v>10</v>
      </c>
      <c r="W187" s="50">
        <f>J179/V187</f>
        <v>109.33</v>
      </c>
      <c r="X187" s="146" t="s">
        <v>2</v>
      </c>
      <c r="Y187" s="149">
        <v>20</v>
      </c>
      <c r="Z187" s="136">
        <v>95000</v>
      </c>
      <c r="AA187" s="79"/>
      <c r="AB187" s="80">
        <v>0</v>
      </c>
      <c r="AC187" s="149">
        <f t="shared" si="29"/>
        <v>0</v>
      </c>
      <c r="AD187" s="250"/>
      <c r="AE187" s="251"/>
      <c r="AF187" s="104"/>
      <c r="AG187" s="103" t="s">
        <v>678</v>
      </c>
      <c r="AH187" s="103"/>
      <c r="AI187" s="252"/>
      <c r="AJ187" s="254"/>
      <c r="AK187" s="103"/>
    </row>
    <row r="188" spans="1:37" s="28" customFormat="1" ht="23.25" customHeight="1">
      <c r="A188" s="262"/>
      <c r="B188" s="263"/>
      <c r="C188" s="258"/>
      <c r="D188" s="258"/>
      <c r="E188" s="258"/>
      <c r="F188" s="258"/>
      <c r="G188" s="258"/>
      <c r="H188" s="256"/>
      <c r="I188" s="256"/>
      <c r="J188" s="257"/>
      <c r="K188" s="251"/>
      <c r="L188" s="258"/>
      <c r="M188" s="258"/>
      <c r="N188" s="250"/>
      <c r="O188" s="250"/>
      <c r="P188" s="250"/>
      <c r="Q188" s="250"/>
      <c r="R188" s="250"/>
      <c r="S188" s="250"/>
      <c r="T188" s="250"/>
      <c r="U188" s="145" t="s">
        <v>525</v>
      </c>
      <c r="V188" s="146"/>
      <c r="W188" s="146"/>
      <c r="X188" s="146" t="s">
        <v>399</v>
      </c>
      <c r="Y188" s="149">
        <v>1</v>
      </c>
      <c r="Z188" s="62"/>
      <c r="AA188" s="79"/>
      <c r="AB188" s="80">
        <v>0</v>
      </c>
      <c r="AC188" s="149">
        <f t="shared" si="29"/>
        <v>0</v>
      </c>
      <c r="AD188" s="250"/>
      <c r="AE188" s="251"/>
      <c r="AF188" s="104"/>
      <c r="AG188" s="103"/>
      <c r="AH188" s="103"/>
      <c r="AI188" s="252"/>
      <c r="AJ188" s="254"/>
      <c r="AK188" s="103"/>
    </row>
    <row r="189" spans="1:37" s="28" customFormat="1" ht="39.75" customHeight="1">
      <c r="A189" s="262"/>
      <c r="B189" s="263"/>
      <c r="C189" s="258"/>
      <c r="D189" s="258"/>
      <c r="E189" s="258"/>
      <c r="F189" s="258"/>
      <c r="G189" s="258"/>
      <c r="H189" s="256"/>
      <c r="I189" s="256"/>
      <c r="J189" s="257"/>
      <c r="K189" s="251"/>
      <c r="L189" s="258"/>
      <c r="M189" s="258"/>
      <c r="N189" s="250"/>
      <c r="O189" s="250"/>
      <c r="P189" s="250"/>
      <c r="Q189" s="250"/>
      <c r="R189" s="250"/>
      <c r="S189" s="250"/>
      <c r="T189" s="250"/>
      <c r="U189" s="145" t="s">
        <v>679</v>
      </c>
      <c r="V189" s="146"/>
      <c r="W189" s="146"/>
      <c r="X189" s="41" t="s">
        <v>8</v>
      </c>
      <c r="Y189" s="147">
        <v>1.2</v>
      </c>
      <c r="Z189" s="136"/>
      <c r="AA189" s="79"/>
      <c r="AB189" s="80">
        <v>0</v>
      </c>
      <c r="AC189" s="149">
        <f t="shared" si="29"/>
        <v>0</v>
      </c>
      <c r="AD189" s="250"/>
      <c r="AE189" s="251"/>
      <c r="AF189" s="104"/>
      <c r="AG189" s="103"/>
      <c r="AH189" s="103"/>
      <c r="AI189" s="252"/>
      <c r="AJ189" s="254"/>
      <c r="AK189" s="103"/>
    </row>
    <row r="190" spans="1:37" s="28" customFormat="1" ht="23.25" customHeight="1">
      <c r="A190" s="262"/>
      <c r="B190" s="263"/>
      <c r="C190" s="258"/>
      <c r="D190" s="258"/>
      <c r="E190" s="258"/>
      <c r="F190" s="258"/>
      <c r="G190" s="258"/>
      <c r="H190" s="256"/>
      <c r="I190" s="256"/>
      <c r="J190" s="257"/>
      <c r="K190" s="251"/>
      <c r="L190" s="258"/>
      <c r="M190" s="258"/>
      <c r="N190" s="250"/>
      <c r="O190" s="250"/>
      <c r="P190" s="250"/>
      <c r="Q190" s="250"/>
      <c r="R190" s="250"/>
      <c r="S190" s="250"/>
      <c r="T190" s="250"/>
      <c r="U190" s="144" t="s">
        <v>680</v>
      </c>
      <c r="V190" s="137"/>
      <c r="W190" s="137"/>
      <c r="X190" s="146" t="s">
        <v>6</v>
      </c>
      <c r="Y190" s="147">
        <v>4</v>
      </c>
      <c r="Z190" s="136"/>
      <c r="AA190" s="79"/>
      <c r="AB190" s="80">
        <v>0</v>
      </c>
      <c r="AC190" s="149">
        <f t="shared" si="29"/>
        <v>0</v>
      </c>
      <c r="AD190" s="250"/>
      <c r="AE190" s="251"/>
      <c r="AF190" s="105"/>
      <c r="AG190" s="103"/>
      <c r="AH190" s="103"/>
      <c r="AI190" s="252"/>
      <c r="AJ190" s="255"/>
      <c r="AK190" s="103"/>
    </row>
    <row r="191" spans="1:37" ht="38.25" customHeight="1">
      <c r="A191" s="141"/>
      <c r="B191" s="141" t="s">
        <v>617</v>
      </c>
      <c r="C191" s="34"/>
      <c r="D191" s="34"/>
      <c r="E191" s="34"/>
      <c r="F191" s="93">
        <f>SUM(F9:F190)</f>
        <v>16503.8</v>
      </c>
      <c r="G191" s="93"/>
      <c r="H191" s="93">
        <f>SUM(H9:H190)</f>
        <v>16599.400000000001</v>
      </c>
      <c r="I191" s="93">
        <f>SUM(I9:I190)</f>
        <v>-95.600000000000421</v>
      </c>
      <c r="J191" s="151">
        <f>SUM(J9:J190)</f>
        <v>16599.2</v>
      </c>
      <c r="K191" s="93"/>
      <c r="L191" s="93">
        <f>SUM(L9:L190)</f>
        <v>2736</v>
      </c>
      <c r="M191" s="93"/>
      <c r="N191" s="93"/>
      <c r="O191" s="106">
        <f>SUM(O9:O190)</f>
        <v>117</v>
      </c>
      <c r="P191" s="93"/>
      <c r="Q191" s="142">
        <f>SUM(Q9:Q190)</f>
        <v>1327936000</v>
      </c>
      <c r="R191" s="142">
        <f>SUM(R9:R190)</f>
        <v>3983808000</v>
      </c>
      <c r="S191" s="142">
        <f>SUM(S9:S190)</f>
        <v>544170000</v>
      </c>
      <c r="T191" s="142">
        <f>SUM(T9:T190)</f>
        <v>5855914000</v>
      </c>
      <c r="U191" s="93"/>
      <c r="V191" s="93"/>
      <c r="W191" s="93"/>
      <c r="X191" s="93"/>
      <c r="Y191" s="93"/>
      <c r="Z191" s="93"/>
      <c r="AA191" s="93"/>
      <c r="AB191" s="93"/>
      <c r="AC191" s="93"/>
      <c r="AD191" s="142">
        <f t="shared" ref="AD191:AI191" si="31">SUM(AD9:AD190)</f>
        <v>2412450000</v>
      </c>
      <c r="AE191" s="142">
        <f t="shared" si="31"/>
        <v>8268364000</v>
      </c>
      <c r="AF191" s="93">
        <f t="shared" si="31"/>
        <v>2800</v>
      </c>
      <c r="AG191" s="93">
        <f t="shared" si="31"/>
        <v>0</v>
      </c>
      <c r="AH191" s="93">
        <f t="shared" si="31"/>
        <v>0</v>
      </c>
      <c r="AI191" s="93">
        <f t="shared" si="31"/>
        <v>0</v>
      </c>
    </row>
    <row r="193" spans="10:3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row>
    <row r="194" spans="10:31" hidden="1">
      <c r="Q194" s="107"/>
      <c r="R194" s="107"/>
    </row>
    <row r="195" spans="10:31" hidden="1"/>
    <row r="196" spans="10:31" hidden="1">
      <c r="Q196" s="107"/>
    </row>
    <row r="197" spans="10:31" hidden="1"/>
    <row r="198" spans="10:31">
      <c r="J198" s="112"/>
      <c r="AE198" s="132"/>
    </row>
    <row r="199" spans="10:31">
      <c r="AE199" s="132"/>
    </row>
    <row r="201" spans="10:31">
      <c r="Q201" s="107"/>
      <c r="R201" s="107"/>
    </row>
  </sheetData>
  <autoFilter ref="A7:AE191"/>
  <mergeCells count="449">
    <mergeCell ref="A1:AE2"/>
    <mergeCell ref="A3:A5"/>
    <mergeCell ref="B3:B5"/>
    <mergeCell ref="C3:K3"/>
    <mergeCell ref="M3:M5"/>
    <mergeCell ref="N3:N5"/>
    <mergeCell ref="O3:O5"/>
    <mergeCell ref="P3:T4"/>
    <mergeCell ref="U3:AD4"/>
    <mergeCell ref="AE3:AE5"/>
    <mergeCell ref="AK3:AK4"/>
    <mergeCell ref="C4:F4"/>
    <mergeCell ref="G4:K4"/>
    <mergeCell ref="A11:A12"/>
    <mergeCell ref="B11:B12"/>
    <mergeCell ref="D11:D12"/>
    <mergeCell ref="E11:E12"/>
    <mergeCell ref="F11:F12"/>
    <mergeCell ref="G11:G12"/>
    <mergeCell ref="H11:H12"/>
    <mergeCell ref="N14:N24"/>
    <mergeCell ref="O14:O24"/>
    <mergeCell ref="AD11:AD12"/>
    <mergeCell ref="AE11:AE12"/>
    <mergeCell ref="A14:A24"/>
    <mergeCell ref="B14:B24"/>
    <mergeCell ref="D14:D17"/>
    <mergeCell ref="E14:E17"/>
    <mergeCell ref="F14:F17"/>
    <mergeCell ref="G14:G17"/>
    <mergeCell ref="H14:H17"/>
    <mergeCell ref="I14:I17"/>
    <mergeCell ref="O11:O12"/>
    <mergeCell ref="P11:P12"/>
    <mergeCell ref="Q11:Q12"/>
    <mergeCell ref="R11:R12"/>
    <mergeCell ref="S11:S12"/>
    <mergeCell ref="T11:T12"/>
    <mergeCell ref="I11:I12"/>
    <mergeCell ref="J11:J12"/>
    <mergeCell ref="K11:K12"/>
    <mergeCell ref="L11:L12"/>
    <mergeCell ref="M11:M12"/>
    <mergeCell ref="N11:N12"/>
    <mergeCell ref="D27:D40"/>
    <mergeCell ref="E27:E40"/>
    <mergeCell ref="F27:F40"/>
    <mergeCell ref="G27:G40"/>
    <mergeCell ref="AE14:AE24"/>
    <mergeCell ref="AF14:AF15"/>
    <mergeCell ref="D18:D24"/>
    <mergeCell ref="E18:E24"/>
    <mergeCell ref="F18:F24"/>
    <mergeCell ref="G18:G24"/>
    <mergeCell ref="H18:H24"/>
    <mergeCell ref="I18:I24"/>
    <mergeCell ref="AD18:AD24"/>
    <mergeCell ref="AF18:AF19"/>
    <mergeCell ref="P14:P24"/>
    <mergeCell ref="Q14:Q24"/>
    <mergeCell ref="R14:R24"/>
    <mergeCell ref="S14:S24"/>
    <mergeCell ref="T14:T24"/>
    <mergeCell ref="AD14:AD17"/>
    <mergeCell ref="J14:J24"/>
    <mergeCell ref="K14:K24"/>
    <mergeCell ref="L14:L24"/>
    <mergeCell ref="M14:M24"/>
    <mergeCell ref="AD27:AD40"/>
    <mergeCell ref="AE27:AE40"/>
    <mergeCell ref="A41:A58"/>
    <mergeCell ref="B41:B58"/>
    <mergeCell ref="C41:C57"/>
    <mergeCell ref="D41:D57"/>
    <mergeCell ref="E41:E57"/>
    <mergeCell ref="F41:F57"/>
    <mergeCell ref="G41:G57"/>
    <mergeCell ref="H41:H57"/>
    <mergeCell ref="O27:O40"/>
    <mergeCell ref="P27:P40"/>
    <mergeCell ref="Q27:Q40"/>
    <mergeCell ref="R27:R40"/>
    <mergeCell ref="S27:S40"/>
    <mergeCell ref="T27:T40"/>
    <mergeCell ref="H27:H40"/>
    <mergeCell ref="I27:I40"/>
    <mergeCell ref="J27:J40"/>
    <mergeCell ref="K27:K40"/>
    <mergeCell ref="M27:M40"/>
    <mergeCell ref="N27:N40"/>
    <mergeCell ref="A27:A40"/>
    <mergeCell ref="B27:B40"/>
    <mergeCell ref="AD41:AD57"/>
    <mergeCell ref="AE41:AE58"/>
    <mergeCell ref="A59:A63"/>
    <mergeCell ref="B59:B63"/>
    <mergeCell ref="D59:D63"/>
    <mergeCell ref="E59:E63"/>
    <mergeCell ref="F59:F63"/>
    <mergeCell ref="G59:G63"/>
    <mergeCell ref="H59:H63"/>
    <mergeCell ref="I59:I63"/>
    <mergeCell ref="O41:O58"/>
    <mergeCell ref="P41:P58"/>
    <mergeCell ref="Q41:Q58"/>
    <mergeCell ref="R41:R58"/>
    <mergeCell ref="S41:S58"/>
    <mergeCell ref="T41:T58"/>
    <mergeCell ref="I41:I57"/>
    <mergeCell ref="J41:J58"/>
    <mergeCell ref="K41:K58"/>
    <mergeCell ref="L41:L58"/>
    <mergeCell ref="M41:M58"/>
    <mergeCell ref="N41:N58"/>
    <mergeCell ref="Q59:Q63"/>
    <mergeCell ref="R59:R63"/>
    <mergeCell ref="S59:S63"/>
    <mergeCell ref="T59:T63"/>
    <mergeCell ref="AD59:AD63"/>
    <mergeCell ref="AE59:AE63"/>
    <mergeCell ref="J59:J63"/>
    <mergeCell ref="K59:K63"/>
    <mergeCell ref="M59:M63"/>
    <mergeCell ref="N59:N63"/>
    <mergeCell ref="O59:O63"/>
    <mergeCell ref="P59:P63"/>
    <mergeCell ref="A64:A68"/>
    <mergeCell ref="B64:B68"/>
    <mergeCell ref="C64:C68"/>
    <mergeCell ref="D64:D68"/>
    <mergeCell ref="E64:E68"/>
    <mergeCell ref="F64:F68"/>
    <mergeCell ref="AE64:AE68"/>
    <mergeCell ref="AI64:AI68"/>
    <mergeCell ref="AJ64:AJ68"/>
    <mergeCell ref="M64:M68"/>
    <mergeCell ref="N64:N68"/>
    <mergeCell ref="O64:O68"/>
    <mergeCell ref="P64:P68"/>
    <mergeCell ref="Q64:Q68"/>
    <mergeCell ref="R64:R68"/>
    <mergeCell ref="S64:S68"/>
    <mergeCell ref="T64:T68"/>
    <mergeCell ref="AD64:AD68"/>
    <mergeCell ref="G64:G68"/>
    <mergeCell ref="H64:H68"/>
    <mergeCell ref="I64:I68"/>
    <mergeCell ref="J64:J68"/>
    <mergeCell ref="K64:K68"/>
    <mergeCell ref="L64:L68"/>
    <mergeCell ref="G69:G75"/>
    <mergeCell ref="H69:H75"/>
    <mergeCell ref="I69:I75"/>
    <mergeCell ref="J69:J75"/>
    <mergeCell ref="K69:K75"/>
    <mergeCell ref="L69:L75"/>
    <mergeCell ref="A69:A75"/>
    <mergeCell ref="B69:B75"/>
    <mergeCell ref="C69:C75"/>
    <mergeCell ref="D69:D75"/>
    <mergeCell ref="E69:E75"/>
    <mergeCell ref="F69:F75"/>
    <mergeCell ref="P77:P85"/>
    <mergeCell ref="Q77:Q85"/>
    <mergeCell ref="R77:R85"/>
    <mergeCell ref="AJ69:AJ75"/>
    <mergeCell ref="M69:M75"/>
    <mergeCell ref="N69:N75"/>
    <mergeCell ref="O69:O75"/>
    <mergeCell ref="P69:P75"/>
    <mergeCell ref="Q69:Q75"/>
    <mergeCell ref="R69:R75"/>
    <mergeCell ref="S69:S75"/>
    <mergeCell ref="T69:T75"/>
    <mergeCell ref="AD69:AD75"/>
    <mergeCell ref="AE69:AE75"/>
    <mergeCell ref="AI69:AI75"/>
    <mergeCell ref="S77:S85"/>
    <mergeCell ref="T77:T85"/>
    <mergeCell ref="AD77:AD85"/>
    <mergeCell ref="AE77:AE85"/>
    <mergeCell ref="A86:A107"/>
    <mergeCell ref="B86:B107"/>
    <mergeCell ref="C86:C96"/>
    <mergeCell ref="D86:D96"/>
    <mergeCell ref="E86:E96"/>
    <mergeCell ref="F86:F96"/>
    <mergeCell ref="M77:M85"/>
    <mergeCell ref="N77:N85"/>
    <mergeCell ref="O77:O85"/>
    <mergeCell ref="G77:G85"/>
    <mergeCell ref="H77:H85"/>
    <mergeCell ref="I77:I85"/>
    <mergeCell ref="J77:J85"/>
    <mergeCell ref="K77:K85"/>
    <mergeCell ref="L77:L85"/>
    <mergeCell ref="A77:A85"/>
    <mergeCell ref="B77:B85"/>
    <mergeCell ref="C77:C85"/>
    <mergeCell ref="D77:D85"/>
    <mergeCell ref="E77:E85"/>
    <mergeCell ref="F77:F85"/>
    <mergeCell ref="AE86:AE107"/>
    <mergeCell ref="C97:C107"/>
    <mergeCell ref="D97:D107"/>
    <mergeCell ref="E97:E107"/>
    <mergeCell ref="F97:F107"/>
    <mergeCell ref="G97:G107"/>
    <mergeCell ref="H97:H107"/>
    <mergeCell ref="M86:M107"/>
    <mergeCell ref="N86:N107"/>
    <mergeCell ref="O86:O107"/>
    <mergeCell ref="P86:P107"/>
    <mergeCell ref="Q86:Q107"/>
    <mergeCell ref="R86:R107"/>
    <mergeCell ref="G86:G96"/>
    <mergeCell ref="H86:H96"/>
    <mergeCell ref="I86:I96"/>
    <mergeCell ref="J86:J107"/>
    <mergeCell ref="K86:K107"/>
    <mergeCell ref="L86:L107"/>
    <mergeCell ref="I97:I107"/>
    <mergeCell ref="AD97:AD107"/>
    <mergeCell ref="S86:S107"/>
    <mergeCell ref="T86:T107"/>
    <mergeCell ref="AD86:AD96"/>
    <mergeCell ref="A108:A118"/>
    <mergeCell ref="B108:B118"/>
    <mergeCell ref="C108:C118"/>
    <mergeCell ref="D108:D118"/>
    <mergeCell ref="E108:E118"/>
    <mergeCell ref="F108:F118"/>
    <mergeCell ref="G108:G118"/>
    <mergeCell ref="H108:H118"/>
    <mergeCell ref="I108:I118"/>
    <mergeCell ref="AE108:AE118"/>
    <mergeCell ref="A119:A122"/>
    <mergeCell ref="B119:B122"/>
    <mergeCell ref="C119:C122"/>
    <mergeCell ref="D119:D122"/>
    <mergeCell ref="E119:E122"/>
    <mergeCell ref="F119:F122"/>
    <mergeCell ref="G119:G122"/>
    <mergeCell ref="H119:H122"/>
    <mergeCell ref="I119:I122"/>
    <mergeCell ref="P108:P118"/>
    <mergeCell ref="Q108:Q118"/>
    <mergeCell ref="R108:R118"/>
    <mergeCell ref="S108:S118"/>
    <mergeCell ref="T108:T118"/>
    <mergeCell ref="AD108:AD118"/>
    <mergeCell ref="J108:J118"/>
    <mergeCell ref="K108:K118"/>
    <mergeCell ref="L108:L118"/>
    <mergeCell ref="M108:M118"/>
    <mergeCell ref="N108:N118"/>
    <mergeCell ref="O108:O118"/>
    <mergeCell ref="AE119:AE122"/>
    <mergeCell ref="P119:P122"/>
    <mergeCell ref="A123:A139"/>
    <mergeCell ref="B123:B139"/>
    <mergeCell ref="C123:C139"/>
    <mergeCell ref="D123:D139"/>
    <mergeCell ref="E123:E139"/>
    <mergeCell ref="F123:F139"/>
    <mergeCell ref="G123:G139"/>
    <mergeCell ref="H123:H139"/>
    <mergeCell ref="I123:I139"/>
    <mergeCell ref="Q119:Q122"/>
    <mergeCell ref="R119:R122"/>
    <mergeCell ref="S119:S122"/>
    <mergeCell ref="T119:T122"/>
    <mergeCell ref="AD119:AD122"/>
    <mergeCell ref="J119:J122"/>
    <mergeCell ref="K119:K122"/>
    <mergeCell ref="L119:L122"/>
    <mergeCell ref="M119:M122"/>
    <mergeCell ref="N119:N122"/>
    <mergeCell ref="O119:O122"/>
    <mergeCell ref="AE123:AE139"/>
    <mergeCell ref="A140:A146"/>
    <mergeCell ref="B140:B146"/>
    <mergeCell ref="C140:C146"/>
    <mergeCell ref="D140:D146"/>
    <mergeCell ref="E140:E146"/>
    <mergeCell ref="F140:F146"/>
    <mergeCell ref="G140:G146"/>
    <mergeCell ref="H140:H146"/>
    <mergeCell ref="I140:I146"/>
    <mergeCell ref="P123:P139"/>
    <mergeCell ref="Q123:Q139"/>
    <mergeCell ref="R123:R139"/>
    <mergeCell ref="S123:S139"/>
    <mergeCell ref="T123:T139"/>
    <mergeCell ref="AD123:AD139"/>
    <mergeCell ref="J123:J139"/>
    <mergeCell ref="K123:K139"/>
    <mergeCell ref="L123:L139"/>
    <mergeCell ref="M123:M139"/>
    <mergeCell ref="N123:N139"/>
    <mergeCell ref="O123:O139"/>
    <mergeCell ref="AE140:AE146"/>
    <mergeCell ref="P140:P146"/>
    <mergeCell ref="A147:A153"/>
    <mergeCell ref="B147:B153"/>
    <mergeCell ref="C147:C153"/>
    <mergeCell ref="D147:D153"/>
    <mergeCell ref="E147:E153"/>
    <mergeCell ref="F147:F153"/>
    <mergeCell ref="G147:G153"/>
    <mergeCell ref="H147:H153"/>
    <mergeCell ref="I147:I153"/>
    <mergeCell ref="Q140:Q146"/>
    <mergeCell ref="R140:R146"/>
    <mergeCell ref="S140:S146"/>
    <mergeCell ref="T140:T146"/>
    <mergeCell ref="AD140:AD146"/>
    <mergeCell ref="J140:J146"/>
    <mergeCell ref="K140:K146"/>
    <mergeCell ref="L140:L146"/>
    <mergeCell ref="M140:M146"/>
    <mergeCell ref="N140:N146"/>
    <mergeCell ref="O140:O146"/>
    <mergeCell ref="AE147:AE153"/>
    <mergeCell ref="A154:A160"/>
    <mergeCell ref="B154:B160"/>
    <mergeCell ref="C154:C160"/>
    <mergeCell ref="D154:D160"/>
    <mergeCell ref="E154:E160"/>
    <mergeCell ref="F154:F160"/>
    <mergeCell ref="G154:G160"/>
    <mergeCell ref="H154:H160"/>
    <mergeCell ref="I154:I160"/>
    <mergeCell ref="P147:P153"/>
    <mergeCell ref="Q147:Q153"/>
    <mergeCell ref="R147:R153"/>
    <mergeCell ref="S147:S153"/>
    <mergeCell ref="T147:T153"/>
    <mergeCell ref="AD147:AD153"/>
    <mergeCell ref="J147:J153"/>
    <mergeCell ref="K147:K153"/>
    <mergeCell ref="L147:L153"/>
    <mergeCell ref="M147:M153"/>
    <mergeCell ref="N147:N153"/>
    <mergeCell ref="O147:O153"/>
    <mergeCell ref="AE154:AE160"/>
    <mergeCell ref="P154:P160"/>
    <mergeCell ref="A161:A162"/>
    <mergeCell ref="B161:B162"/>
    <mergeCell ref="C161:C162"/>
    <mergeCell ref="D161:D162"/>
    <mergeCell ref="E161:E162"/>
    <mergeCell ref="F161:F162"/>
    <mergeCell ref="G161:G162"/>
    <mergeCell ref="H161:H162"/>
    <mergeCell ref="I161:I162"/>
    <mergeCell ref="Q154:Q160"/>
    <mergeCell ref="R154:R160"/>
    <mergeCell ref="S154:S160"/>
    <mergeCell ref="T154:T160"/>
    <mergeCell ref="AD154:AD160"/>
    <mergeCell ref="J154:J160"/>
    <mergeCell ref="K154:K160"/>
    <mergeCell ref="L154:L160"/>
    <mergeCell ref="M154:M160"/>
    <mergeCell ref="N154:N160"/>
    <mergeCell ref="O154:O160"/>
    <mergeCell ref="N163:N166"/>
    <mergeCell ref="O163:O166"/>
    <mergeCell ref="AE161:AE162"/>
    <mergeCell ref="A163:A166"/>
    <mergeCell ref="B163:B166"/>
    <mergeCell ref="C163:C165"/>
    <mergeCell ref="D163:D165"/>
    <mergeCell ref="E163:E165"/>
    <mergeCell ref="F163:F165"/>
    <mergeCell ref="G163:G165"/>
    <mergeCell ref="H163:H165"/>
    <mergeCell ref="I163:I165"/>
    <mergeCell ref="P161:P162"/>
    <mergeCell ref="Q161:Q162"/>
    <mergeCell ref="R161:R162"/>
    <mergeCell ref="S161:S162"/>
    <mergeCell ref="T161:T162"/>
    <mergeCell ref="AD161:AD162"/>
    <mergeCell ref="J161:J162"/>
    <mergeCell ref="K161:K162"/>
    <mergeCell ref="L161:L162"/>
    <mergeCell ref="M161:M162"/>
    <mergeCell ref="N161:N162"/>
    <mergeCell ref="O161:O162"/>
    <mergeCell ref="N167:N178"/>
    <mergeCell ref="O167:O178"/>
    <mergeCell ref="P167:P178"/>
    <mergeCell ref="Q167:Q178"/>
    <mergeCell ref="AE163:AE166"/>
    <mergeCell ref="A167:A178"/>
    <mergeCell ref="B167:B178"/>
    <mergeCell ref="D167:D178"/>
    <mergeCell ref="E167:E178"/>
    <mergeCell ref="F167:F178"/>
    <mergeCell ref="G167:G178"/>
    <mergeCell ref="H167:H178"/>
    <mergeCell ref="I167:I178"/>
    <mergeCell ref="J167:J178"/>
    <mergeCell ref="P163:P166"/>
    <mergeCell ref="Q163:Q166"/>
    <mergeCell ref="R163:R166"/>
    <mergeCell ref="S163:S166"/>
    <mergeCell ref="T163:T166"/>
    <mergeCell ref="AD163:AD165"/>
    <mergeCell ref="J163:J166"/>
    <mergeCell ref="K163:K166"/>
    <mergeCell ref="L163:L166"/>
    <mergeCell ref="M163:M166"/>
    <mergeCell ref="I179:I190"/>
    <mergeCell ref="J179:J190"/>
    <mergeCell ref="K179:K190"/>
    <mergeCell ref="L179:L190"/>
    <mergeCell ref="M179:M190"/>
    <mergeCell ref="N179:N190"/>
    <mergeCell ref="AI167:AI178"/>
    <mergeCell ref="AJ167:AJ178"/>
    <mergeCell ref="A179:A190"/>
    <mergeCell ref="B179:B190"/>
    <mergeCell ref="C179:C190"/>
    <mergeCell ref="D179:D190"/>
    <mergeCell ref="E179:E190"/>
    <mergeCell ref="F179:F190"/>
    <mergeCell ref="G179:G190"/>
    <mergeCell ref="H179:H190"/>
    <mergeCell ref="R167:R178"/>
    <mergeCell ref="S167:S178"/>
    <mergeCell ref="T167:T178"/>
    <mergeCell ref="AD167:AD178"/>
    <mergeCell ref="AE167:AE178"/>
    <mergeCell ref="AG167:AG178"/>
    <mergeCell ref="K167:K178"/>
    <mergeCell ref="M167:M178"/>
    <mergeCell ref="AD179:AD190"/>
    <mergeCell ref="AE179:AE190"/>
    <mergeCell ref="AI179:AI190"/>
    <mergeCell ref="AJ179:AJ190"/>
    <mergeCell ref="O179:O190"/>
    <mergeCell ref="P179:P190"/>
    <mergeCell ref="Q179:Q190"/>
    <mergeCell ref="R179:R190"/>
    <mergeCell ref="S179:S190"/>
    <mergeCell ref="T179:T190"/>
  </mergeCells>
  <pageMargins left="0.2" right="0.1" top="0.2" bottom="0.2" header="0.2" footer="0.2"/>
  <pageSetup paperSize="9" scale="4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201"/>
  <sheetViews>
    <sheetView tabSelected="1" zoomScale="85" zoomScaleNormal="85" workbookViewId="0">
      <pane xSplit="4" ySplit="7" topLeftCell="E173" activePane="bottomRight" state="frozen"/>
      <selection pane="topRight"/>
      <selection pane="bottomLeft"/>
      <selection pane="bottomRight" activeCell="B191" sqref="B191"/>
    </sheetView>
  </sheetViews>
  <sheetFormatPr defaultColWidth="9" defaultRowHeight="15"/>
  <cols>
    <col min="1" max="1" width="5.42578125" style="129" customWidth="1"/>
    <col min="2" max="2" width="27" style="29" customWidth="1"/>
    <col min="3" max="3" width="6" style="29" hidden="1" customWidth="1"/>
    <col min="4" max="4" width="5.42578125" style="29" customWidth="1"/>
    <col min="5" max="5" width="6.42578125" style="29" customWidth="1"/>
    <col min="6" max="6" width="9.5703125" style="129" customWidth="1"/>
    <col min="7" max="7" width="6.42578125" style="129" customWidth="1"/>
    <col min="8" max="8" width="8.7109375" style="129" customWidth="1"/>
    <col min="9" max="9" width="8.5703125" style="129" customWidth="1"/>
    <col min="10" max="10" width="10" style="129" customWidth="1"/>
    <col min="11" max="11" width="9.140625" style="129" customWidth="1"/>
    <col min="12" max="12" width="6.5703125" style="129" hidden="1" customWidth="1"/>
    <col min="13" max="13" width="8.140625" style="129" customWidth="1"/>
    <col min="14" max="14" width="8.42578125" style="129" customWidth="1"/>
    <col min="15" max="15" width="7.5703125" style="129" customWidth="1"/>
    <col min="16" max="16" width="8.42578125" style="129" customWidth="1"/>
    <col min="17" max="18" width="15.28515625" style="129" customWidth="1"/>
    <col min="19" max="19" width="14.85546875" style="129" customWidth="1"/>
    <col min="20" max="20" width="16" style="129" customWidth="1"/>
    <col min="21" max="21" width="29.7109375" style="29" customWidth="1"/>
    <col min="22" max="22" width="7.7109375" style="129" hidden="1" customWidth="1"/>
    <col min="23" max="23" width="7.85546875" style="129" hidden="1" customWidth="1"/>
    <col min="24" max="24" width="11.85546875" style="129" customWidth="1"/>
    <col min="25" max="25" width="8.7109375" style="29" customWidth="1"/>
    <col min="26" max="26" width="11.140625" style="129" customWidth="1"/>
    <col min="27" max="27" width="0.28515625" style="29" hidden="1" customWidth="1"/>
    <col min="28" max="28" width="9.7109375" style="29" customWidth="1"/>
    <col min="29" max="29" width="14.42578125" style="29" customWidth="1"/>
    <col min="30" max="30" width="15.140625" style="129" customWidth="1"/>
    <col min="31" max="31" width="16.140625" style="108" customWidth="1"/>
    <col min="32" max="32" width="16.140625" style="29" hidden="1" customWidth="1"/>
    <col min="33" max="33" width="16" style="29" hidden="1" customWidth="1"/>
    <col min="34" max="34" width="14" style="29" hidden="1" customWidth="1"/>
    <col min="35" max="35" width="17.42578125" style="29" customWidth="1"/>
    <col min="36" max="36" width="17.28515625" style="29" customWidth="1"/>
    <col min="37" max="37" width="18.140625" style="29" customWidth="1"/>
    <col min="38" max="16384" width="9" style="2"/>
  </cols>
  <sheetData>
    <row r="1" spans="1:37" ht="32.25" customHeight="1">
      <c r="A1" s="290" t="s">
        <v>682</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row>
    <row r="2" spans="1:37" ht="32.2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7" ht="21.75" customHeight="1">
      <c r="A3" s="288" t="s">
        <v>4</v>
      </c>
      <c r="B3" s="288" t="s">
        <v>613</v>
      </c>
      <c r="C3" s="288" t="s">
        <v>377</v>
      </c>
      <c r="D3" s="288"/>
      <c r="E3" s="288"/>
      <c r="F3" s="288"/>
      <c r="G3" s="288"/>
      <c r="H3" s="288"/>
      <c r="I3" s="288"/>
      <c r="J3" s="288"/>
      <c r="K3" s="288"/>
      <c r="L3" s="125"/>
      <c r="M3" s="288" t="s">
        <v>378</v>
      </c>
      <c r="N3" s="251" t="s">
        <v>379</v>
      </c>
      <c r="O3" s="251" t="s">
        <v>20</v>
      </c>
      <c r="P3" s="288" t="s">
        <v>380</v>
      </c>
      <c r="Q3" s="288"/>
      <c r="R3" s="288"/>
      <c r="S3" s="288"/>
      <c r="T3" s="288"/>
      <c r="U3" s="288" t="s">
        <v>381</v>
      </c>
      <c r="V3" s="288"/>
      <c r="W3" s="288"/>
      <c r="X3" s="288"/>
      <c r="Y3" s="288"/>
      <c r="Z3" s="288"/>
      <c r="AA3" s="288"/>
      <c r="AB3" s="288"/>
      <c r="AC3" s="288"/>
      <c r="AD3" s="288"/>
      <c r="AE3" s="288" t="s">
        <v>382</v>
      </c>
      <c r="AK3" s="287" t="s">
        <v>652</v>
      </c>
    </row>
    <row r="4" spans="1:37" ht="28.5" customHeight="1">
      <c r="A4" s="288"/>
      <c r="B4" s="288"/>
      <c r="C4" s="288" t="s">
        <v>383</v>
      </c>
      <c r="D4" s="288"/>
      <c r="E4" s="288"/>
      <c r="F4" s="288"/>
      <c r="G4" s="288" t="s">
        <v>384</v>
      </c>
      <c r="H4" s="288"/>
      <c r="I4" s="288"/>
      <c r="J4" s="288"/>
      <c r="K4" s="288"/>
      <c r="L4" s="125"/>
      <c r="M4" s="288"/>
      <c r="N4" s="251"/>
      <c r="O4" s="251"/>
      <c r="P4" s="288"/>
      <c r="Q4" s="288"/>
      <c r="R4" s="288"/>
      <c r="S4" s="288"/>
      <c r="T4" s="288"/>
      <c r="U4" s="288"/>
      <c r="V4" s="288"/>
      <c r="W4" s="288"/>
      <c r="X4" s="288"/>
      <c r="Y4" s="288"/>
      <c r="Z4" s="288"/>
      <c r="AA4" s="288"/>
      <c r="AB4" s="288"/>
      <c r="AC4" s="288"/>
      <c r="AD4" s="288"/>
      <c r="AE4" s="288"/>
      <c r="AF4" s="31"/>
      <c r="AK4" s="287"/>
    </row>
    <row r="5" spans="1:37" ht="92.25" customHeight="1">
      <c r="A5" s="288"/>
      <c r="B5" s="288"/>
      <c r="C5" s="125" t="s">
        <v>385</v>
      </c>
      <c r="D5" s="125" t="s">
        <v>13</v>
      </c>
      <c r="E5" s="125" t="s">
        <v>14</v>
      </c>
      <c r="F5" s="125" t="s">
        <v>621</v>
      </c>
      <c r="G5" s="125" t="s">
        <v>16</v>
      </c>
      <c r="H5" s="116" t="s">
        <v>620</v>
      </c>
      <c r="I5" s="33" t="s">
        <v>619</v>
      </c>
      <c r="J5" s="116" t="s">
        <v>386</v>
      </c>
      <c r="K5" s="116" t="s">
        <v>618</v>
      </c>
      <c r="L5" s="125" t="s">
        <v>19</v>
      </c>
      <c r="M5" s="288"/>
      <c r="N5" s="251"/>
      <c r="O5" s="251"/>
      <c r="P5" s="116" t="s">
        <v>387</v>
      </c>
      <c r="Q5" s="116" t="s">
        <v>388</v>
      </c>
      <c r="R5" s="116" t="s">
        <v>389</v>
      </c>
      <c r="S5" s="116" t="s">
        <v>390</v>
      </c>
      <c r="T5" s="116" t="s">
        <v>391</v>
      </c>
      <c r="U5" s="125" t="s">
        <v>21</v>
      </c>
      <c r="V5" s="125" t="s">
        <v>406</v>
      </c>
      <c r="W5" s="125" t="s">
        <v>557</v>
      </c>
      <c r="X5" s="125" t="s">
        <v>22</v>
      </c>
      <c r="Y5" s="116" t="s">
        <v>23</v>
      </c>
      <c r="Z5" s="116" t="s">
        <v>5</v>
      </c>
      <c r="AA5" s="125" t="s">
        <v>24</v>
      </c>
      <c r="AB5" s="125" t="s">
        <v>25</v>
      </c>
      <c r="AC5" s="116" t="s">
        <v>392</v>
      </c>
      <c r="AD5" s="116" t="s">
        <v>393</v>
      </c>
      <c r="AE5" s="288"/>
      <c r="AF5" s="31"/>
    </row>
    <row r="6" spans="1:37" ht="15.75" customHeight="1">
      <c r="A6" s="125"/>
      <c r="B6" s="34"/>
      <c r="C6" s="125"/>
      <c r="D6" s="125"/>
      <c r="E6" s="125"/>
      <c r="F6" s="125"/>
      <c r="G6" s="125"/>
      <c r="H6" s="116"/>
      <c r="I6" s="33"/>
      <c r="J6" s="118"/>
      <c r="K6" s="118"/>
      <c r="L6" s="125"/>
      <c r="M6" s="125"/>
      <c r="N6" s="116"/>
      <c r="O6" s="116"/>
      <c r="P6" s="116">
        <v>80000</v>
      </c>
      <c r="Q6" s="116"/>
      <c r="R6" s="116">
        <f>P6*3</f>
        <v>240000</v>
      </c>
      <c r="S6" s="116">
        <f>17000*30</f>
        <v>510000</v>
      </c>
      <c r="T6" s="116"/>
      <c r="U6" s="36"/>
      <c r="V6" s="125"/>
      <c r="W6" s="125"/>
      <c r="X6" s="125"/>
      <c r="Y6" s="116"/>
      <c r="Z6" s="116"/>
      <c r="AA6" s="125"/>
      <c r="AB6" s="125"/>
      <c r="AC6" s="116"/>
      <c r="AD6" s="116"/>
      <c r="AE6" s="125"/>
      <c r="AF6" s="31"/>
    </row>
    <row r="7" spans="1:37" s="113" customFormat="1" ht="15.75">
      <c r="A7" s="125">
        <v>1</v>
      </c>
      <c r="B7" s="125">
        <v>2</v>
      </c>
      <c r="C7" s="125"/>
      <c r="D7" s="125">
        <v>3</v>
      </c>
      <c r="E7" s="125">
        <v>4</v>
      </c>
      <c r="F7" s="125">
        <v>5</v>
      </c>
      <c r="G7" s="125">
        <v>6</v>
      </c>
      <c r="H7" s="116">
        <v>7</v>
      </c>
      <c r="I7" s="116">
        <v>8</v>
      </c>
      <c r="J7" s="118">
        <v>9</v>
      </c>
      <c r="K7" s="118">
        <v>10</v>
      </c>
      <c r="L7" s="125"/>
      <c r="M7" s="125">
        <v>11</v>
      </c>
      <c r="N7" s="116">
        <v>12</v>
      </c>
      <c r="O7" s="116">
        <v>13</v>
      </c>
      <c r="P7" s="116">
        <v>14</v>
      </c>
      <c r="Q7" s="116">
        <v>15</v>
      </c>
      <c r="R7" s="116">
        <v>16</v>
      </c>
      <c r="S7" s="116">
        <v>17</v>
      </c>
      <c r="T7" s="116">
        <v>18</v>
      </c>
      <c r="U7" s="125">
        <v>19</v>
      </c>
      <c r="V7" s="125"/>
      <c r="W7" s="125"/>
      <c r="X7" s="125">
        <v>20</v>
      </c>
      <c r="Y7" s="116">
        <v>21</v>
      </c>
      <c r="Z7" s="116">
        <v>22</v>
      </c>
      <c r="AA7" s="125">
        <v>23</v>
      </c>
      <c r="AB7" s="125">
        <v>24</v>
      </c>
      <c r="AC7" s="116">
        <v>25</v>
      </c>
      <c r="AD7" s="116">
        <v>26</v>
      </c>
      <c r="AE7" s="125" t="s">
        <v>394</v>
      </c>
      <c r="AF7" s="130"/>
      <c r="AG7" s="129"/>
      <c r="AH7" s="129"/>
      <c r="AI7" s="129"/>
      <c r="AJ7" s="129"/>
      <c r="AK7" s="129"/>
    </row>
    <row r="8" spans="1:37" s="14" customFormat="1" ht="25.5" customHeight="1">
      <c r="A8" s="125"/>
      <c r="B8" s="34" t="s">
        <v>612</v>
      </c>
      <c r="C8" s="34"/>
      <c r="D8" s="34"/>
      <c r="E8" s="34"/>
      <c r="F8" s="125"/>
      <c r="G8" s="125"/>
      <c r="H8" s="125"/>
      <c r="I8" s="125"/>
      <c r="J8" s="117"/>
      <c r="K8" s="117"/>
      <c r="L8" s="125"/>
      <c r="M8" s="125"/>
      <c r="N8" s="125"/>
      <c r="O8" s="125"/>
      <c r="P8" s="125"/>
      <c r="Q8" s="125"/>
      <c r="R8" s="125"/>
      <c r="S8" s="125"/>
      <c r="T8" s="125"/>
      <c r="U8" s="34"/>
      <c r="V8" s="125"/>
      <c r="W8" s="125"/>
      <c r="X8" s="125"/>
      <c r="Y8" s="34"/>
      <c r="Z8" s="125"/>
      <c r="AA8" s="34"/>
      <c r="AB8" s="34"/>
      <c r="AC8" s="34"/>
      <c r="AD8" s="125"/>
      <c r="AE8" s="125"/>
      <c r="AF8" s="40"/>
      <c r="AG8" s="40"/>
      <c r="AH8" s="40"/>
      <c r="AI8" s="40"/>
      <c r="AJ8" s="40"/>
      <c r="AK8" s="40"/>
    </row>
    <row r="9" spans="1:37" s="24" customFormat="1" ht="43.5" customHeight="1">
      <c r="A9" s="41">
        <v>1</v>
      </c>
      <c r="B9" s="42" t="s">
        <v>581</v>
      </c>
      <c r="C9" s="43"/>
      <c r="D9" s="44">
        <v>64</v>
      </c>
      <c r="E9" s="44">
        <v>384</v>
      </c>
      <c r="F9" s="44">
        <v>217.6</v>
      </c>
      <c r="G9" s="44" t="s">
        <v>397</v>
      </c>
      <c r="H9" s="44">
        <v>216</v>
      </c>
      <c r="I9" s="44">
        <f>F9-H9</f>
        <v>1.5999999999999943</v>
      </c>
      <c r="J9" s="46">
        <v>216</v>
      </c>
      <c r="K9" s="45">
        <v>756</v>
      </c>
      <c r="L9" s="45"/>
      <c r="M9" s="46">
        <f>J9/K9*100</f>
        <v>28.571428571428569</v>
      </c>
      <c r="N9" s="47">
        <f>IF(M9&lt;10,2,IF(M9&lt;20,3,IF(M9&lt;30,5,IF(M9&gt;=70,12,IF(M9&gt;=30,6)))))</f>
        <v>5</v>
      </c>
      <c r="O9" s="47">
        <v>5</v>
      </c>
      <c r="P9" s="123">
        <f>$P$6</f>
        <v>80000</v>
      </c>
      <c r="Q9" s="123">
        <f>H9*P9</f>
        <v>17280000</v>
      </c>
      <c r="R9" s="123">
        <f>Q9*3</f>
        <v>51840000</v>
      </c>
      <c r="S9" s="123">
        <f>N9*O9*17000*30</f>
        <v>12750000</v>
      </c>
      <c r="T9" s="123">
        <f>S9+R9+Q9</f>
        <v>81870000</v>
      </c>
      <c r="U9" s="124" t="s">
        <v>591</v>
      </c>
      <c r="V9" s="41"/>
      <c r="W9" s="41"/>
      <c r="X9" s="50" t="s">
        <v>0</v>
      </c>
      <c r="Y9" s="44">
        <v>216</v>
      </c>
      <c r="Z9" s="47">
        <v>97000</v>
      </c>
      <c r="AA9" s="43"/>
      <c r="AB9" s="51">
        <v>1</v>
      </c>
      <c r="AC9" s="52">
        <f>Y9*Z9*AB9</f>
        <v>20952000</v>
      </c>
      <c r="AD9" s="47">
        <f>AC9</f>
        <v>20952000</v>
      </c>
      <c r="AE9" s="53">
        <f>AD9+T9</f>
        <v>102822000</v>
      </c>
      <c r="AF9" s="54"/>
      <c r="AG9" s="55"/>
      <c r="AH9" s="55"/>
      <c r="AI9" s="55"/>
      <c r="AJ9" s="55"/>
      <c r="AK9" s="55"/>
    </row>
    <row r="10" spans="1:37" s="24" customFormat="1" ht="43.5" customHeight="1">
      <c r="A10" s="44">
        <v>2</v>
      </c>
      <c r="B10" s="42" t="s">
        <v>582</v>
      </c>
      <c r="C10" s="43"/>
      <c r="D10" s="44">
        <v>64</v>
      </c>
      <c r="E10" s="44">
        <v>379</v>
      </c>
      <c r="F10" s="44">
        <v>216.1</v>
      </c>
      <c r="G10" s="44" t="s">
        <v>397</v>
      </c>
      <c r="H10" s="44">
        <v>216</v>
      </c>
      <c r="I10" s="44">
        <f>F10-H10</f>
        <v>9.9999999999994316E-2</v>
      </c>
      <c r="J10" s="46">
        <v>216</v>
      </c>
      <c r="K10" s="45">
        <v>756</v>
      </c>
      <c r="L10" s="45"/>
      <c r="M10" s="46">
        <f>J10/K10*100</f>
        <v>28.571428571428569</v>
      </c>
      <c r="N10" s="47">
        <f>IF(M10&lt;10,2,IF(M10&lt;20,3,IF(M10&lt;30,5,IF(M10&gt;=70,12,IF(M10&gt;=30,6)))))</f>
        <v>5</v>
      </c>
      <c r="O10" s="47">
        <v>3</v>
      </c>
      <c r="P10" s="123">
        <f>$P$6</f>
        <v>80000</v>
      </c>
      <c r="Q10" s="123">
        <f>H10*P10</f>
        <v>17280000</v>
      </c>
      <c r="R10" s="123">
        <f>Q10*3</f>
        <v>51840000</v>
      </c>
      <c r="S10" s="123">
        <f>N10*O10*17000*30</f>
        <v>7650000</v>
      </c>
      <c r="T10" s="123">
        <f>S10+R10+Q10</f>
        <v>76770000</v>
      </c>
      <c r="U10" s="124" t="s">
        <v>591</v>
      </c>
      <c r="V10" s="41"/>
      <c r="W10" s="41"/>
      <c r="X10" s="50" t="s">
        <v>0</v>
      </c>
      <c r="Y10" s="44">
        <v>216</v>
      </c>
      <c r="Z10" s="47">
        <v>97000</v>
      </c>
      <c r="AA10" s="43"/>
      <c r="AB10" s="51">
        <v>1</v>
      </c>
      <c r="AC10" s="52">
        <f>Y10*Z10*AB10</f>
        <v>20952000</v>
      </c>
      <c r="AD10" s="47">
        <f>AC10</f>
        <v>20952000</v>
      </c>
      <c r="AE10" s="53">
        <f>AD10+T10</f>
        <v>97722000</v>
      </c>
      <c r="AF10" s="54"/>
      <c r="AG10" s="55"/>
      <c r="AH10" s="55"/>
      <c r="AI10" s="55"/>
      <c r="AJ10" s="55"/>
      <c r="AK10" s="55"/>
    </row>
    <row r="11" spans="1:37" s="25" customFormat="1" ht="43.5" customHeight="1">
      <c r="A11" s="262">
        <v>3</v>
      </c>
      <c r="B11" s="271" t="s">
        <v>614</v>
      </c>
      <c r="C11" s="56"/>
      <c r="D11" s="279">
        <v>65</v>
      </c>
      <c r="E11" s="289">
        <v>34</v>
      </c>
      <c r="F11" s="289">
        <v>360</v>
      </c>
      <c r="G11" s="279" t="s">
        <v>397</v>
      </c>
      <c r="H11" s="262">
        <v>360</v>
      </c>
      <c r="I11" s="274">
        <f>F11-H11</f>
        <v>0</v>
      </c>
      <c r="J11" s="269">
        <v>360</v>
      </c>
      <c r="K11" s="262">
        <v>360</v>
      </c>
      <c r="L11" s="262"/>
      <c r="M11" s="269">
        <f>J11/K11*100</f>
        <v>100</v>
      </c>
      <c r="N11" s="264">
        <f>IF(M11&lt;10,2,IF(M11&lt;20,3,IF(M11&lt;30,5,IF(M11&gt;=70,12,IF(M11&gt;=30,6)))))</f>
        <v>12</v>
      </c>
      <c r="O11" s="264">
        <v>4</v>
      </c>
      <c r="P11" s="264">
        <f>$P$6</f>
        <v>80000</v>
      </c>
      <c r="Q11" s="264">
        <f>K11*P11</f>
        <v>28800000</v>
      </c>
      <c r="R11" s="264">
        <f>Q11*3</f>
        <v>86400000</v>
      </c>
      <c r="S11" s="264">
        <f>N11*O11*17000*30</f>
        <v>24480000</v>
      </c>
      <c r="T11" s="264">
        <f>S11+R11+Q11</f>
        <v>139680000</v>
      </c>
      <c r="U11" s="124" t="s">
        <v>591</v>
      </c>
      <c r="V11" s="117"/>
      <c r="W11" s="117"/>
      <c r="X11" s="50" t="s">
        <v>0</v>
      </c>
      <c r="Y11" s="123">
        <v>360</v>
      </c>
      <c r="Z11" s="123">
        <v>97000</v>
      </c>
      <c r="AA11" s="56"/>
      <c r="AB11" s="57">
        <v>1</v>
      </c>
      <c r="AC11" s="118">
        <f t="shared" ref="AC11:AC13" si="0">Y11*Z11*AB11</f>
        <v>34920000</v>
      </c>
      <c r="AD11" s="264">
        <f>AC11+AC12</f>
        <v>34920000</v>
      </c>
      <c r="AE11" s="268">
        <f>AD11+T11</f>
        <v>174600000</v>
      </c>
      <c r="AF11" s="58"/>
      <c r="AG11" s="59"/>
      <c r="AH11" s="59"/>
      <c r="AI11" s="59"/>
      <c r="AJ11" s="59"/>
      <c r="AK11" s="59"/>
    </row>
    <row r="12" spans="1:37" s="25" customFormat="1" ht="43.5" customHeight="1">
      <c r="A12" s="262"/>
      <c r="B12" s="271"/>
      <c r="C12" s="56"/>
      <c r="D12" s="279"/>
      <c r="E12" s="289"/>
      <c r="F12" s="289"/>
      <c r="G12" s="279"/>
      <c r="H12" s="262"/>
      <c r="I12" s="276"/>
      <c r="J12" s="269"/>
      <c r="K12" s="262"/>
      <c r="L12" s="262"/>
      <c r="M12" s="269"/>
      <c r="N12" s="264"/>
      <c r="O12" s="264"/>
      <c r="P12" s="264"/>
      <c r="Q12" s="264"/>
      <c r="R12" s="264"/>
      <c r="S12" s="264"/>
      <c r="T12" s="264"/>
      <c r="U12" s="124" t="s">
        <v>598</v>
      </c>
      <c r="V12" s="117"/>
      <c r="W12" s="117"/>
      <c r="X12" s="119" t="s">
        <v>628</v>
      </c>
      <c r="Y12" s="114">
        <v>19.95</v>
      </c>
      <c r="Z12" s="62">
        <v>0</v>
      </c>
      <c r="AA12" s="56"/>
      <c r="AB12" s="118">
        <v>0</v>
      </c>
      <c r="AC12" s="118">
        <f t="shared" si="0"/>
        <v>0</v>
      </c>
      <c r="AD12" s="262"/>
      <c r="AE12" s="283"/>
      <c r="AF12" s="58"/>
      <c r="AG12" s="59"/>
      <c r="AH12" s="59"/>
      <c r="AI12" s="59"/>
      <c r="AJ12" s="59"/>
      <c r="AK12" s="59"/>
    </row>
    <row r="13" spans="1:37" s="25" customFormat="1" ht="43.5" customHeight="1">
      <c r="A13" s="119">
        <v>4</v>
      </c>
      <c r="B13" s="124" t="s">
        <v>585</v>
      </c>
      <c r="C13" s="56"/>
      <c r="D13" s="128">
        <v>65</v>
      </c>
      <c r="E13" s="128">
        <v>12</v>
      </c>
      <c r="F13" s="128">
        <v>288</v>
      </c>
      <c r="G13" s="128" t="s">
        <v>397</v>
      </c>
      <c r="H13" s="119">
        <v>288</v>
      </c>
      <c r="I13" s="119">
        <f>F13-H13</f>
        <v>0</v>
      </c>
      <c r="J13" s="122">
        <v>288</v>
      </c>
      <c r="K13" s="119">
        <v>288</v>
      </c>
      <c r="L13" s="119"/>
      <c r="M13" s="122">
        <f>J13/K13*100</f>
        <v>100</v>
      </c>
      <c r="N13" s="123">
        <f>IF(M13&lt;10,2,IF(M13&lt;20,3,IF(M13&lt;30,5,IF(M13&gt;=70,12,IF(M13&gt;=30,6)))))</f>
        <v>12</v>
      </c>
      <c r="O13" s="123">
        <v>4</v>
      </c>
      <c r="P13" s="123">
        <f>$P$6</f>
        <v>80000</v>
      </c>
      <c r="Q13" s="123">
        <f>K13*P13</f>
        <v>23040000</v>
      </c>
      <c r="R13" s="123">
        <f>Q13*3</f>
        <v>69120000</v>
      </c>
      <c r="S13" s="123">
        <f>N13*O13*17000*30</f>
        <v>24480000</v>
      </c>
      <c r="T13" s="123">
        <f>S13+R13+Q13</f>
        <v>116640000</v>
      </c>
      <c r="U13" s="65" t="s">
        <v>623</v>
      </c>
      <c r="V13" s="50"/>
      <c r="W13" s="50"/>
      <c r="X13" s="50" t="s">
        <v>0</v>
      </c>
      <c r="Y13" s="123">
        <v>288</v>
      </c>
      <c r="Z13" s="62">
        <v>63000</v>
      </c>
      <c r="AA13" s="56"/>
      <c r="AB13" s="57">
        <v>1</v>
      </c>
      <c r="AC13" s="118">
        <f t="shared" si="0"/>
        <v>18144000</v>
      </c>
      <c r="AD13" s="123">
        <f>AC13</f>
        <v>18144000</v>
      </c>
      <c r="AE13" s="121">
        <f>AD13+T13</f>
        <v>134784000</v>
      </c>
      <c r="AF13" s="58"/>
      <c r="AG13" s="59"/>
      <c r="AH13" s="59"/>
      <c r="AI13" s="59"/>
      <c r="AJ13" s="59"/>
      <c r="AK13" s="59"/>
    </row>
    <row r="14" spans="1:37" s="25" customFormat="1" ht="34.5" customHeight="1">
      <c r="A14" s="262">
        <v>5</v>
      </c>
      <c r="B14" s="258" t="s">
        <v>586</v>
      </c>
      <c r="C14" s="56"/>
      <c r="D14" s="279">
        <v>64</v>
      </c>
      <c r="E14" s="279">
        <v>391</v>
      </c>
      <c r="F14" s="279">
        <v>252.1</v>
      </c>
      <c r="G14" s="279" t="s">
        <v>28</v>
      </c>
      <c r="H14" s="279">
        <v>252</v>
      </c>
      <c r="I14" s="284">
        <f>F14-H14</f>
        <v>9.9999999999994316E-2</v>
      </c>
      <c r="J14" s="280">
        <f>H14+H18</f>
        <v>612</v>
      </c>
      <c r="K14" s="262">
        <v>612</v>
      </c>
      <c r="L14" s="262"/>
      <c r="M14" s="262">
        <f>J14/K14*100</f>
        <v>100</v>
      </c>
      <c r="N14" s="262">
        <v>12</v>
      </c>
      <c r="O14" s="262">
        <v>7</v>
      </c>
      <c r="P14" s="264">
        <v>80000</v>
      </c>
      <c r="Q14" s="264">
        <f>P14*K14</f>
        <v>48960000</v>
      </c>
      <c r="R14" s="264">
        <f>Q14*3</f>
        <v>146880000</v>
      </c>
      <c r="S14" s="264">
        <f>N14*O14*17000*30</f>
        <v>42840000</v>
      </c>
      <c r="T14" s="264">
        <f>SUM(Q14:S24)</f>
        <v>238680000</v>
      </c>
      <c r="U14" s="65" t="s">
        <v>622</v>
      </c>
      <c r="V14" s="50">
        <v>25</v>
      </c>
      <c r="W14" s="50">
        <f>H14/V14</f>
        <v>10.08</v>
      </c>
      <c r="X14" s="119" t="str">
        <f>'[2]bang gia'!$C$46</f>
        <v>đồng/cây</v>
      </c>
      <c r="Y14" s="123">
        <v>13</v>
      </c>
      <c r="Z14" s="123"/>
      <c r="AA14" s="56"/>
      <c r="AB14" s="117"/>
      <c r="AC14" s="118"/>
      <c r="AD14" s="264">
        <f>SUM(AC14:AC17)</f>
        <v>51750000</v>
      </c>
      <c r="AE14" s="268">
        <f>T14+AD14+AD18</f>
        <v>362430000</v>
      </c>
      <c r="AF14" s="278" t="s">
        <v>415</v>
      </c>
      <c r="AG14" s="59"/>
      <c r="AH14" s="59"/>
      <c r="AI14" s="59"/>
      <c r="AJ14" s="59"/>
      <c r="AK14" s="59"/>
    </row>
    <row r="15" spans="1:37" s="25" customFormat="1" ht="27" customHeight="1">
      <c r="A15" s="262"/>
      <c r="B15" s="258"/>
      <c r="C15" s="56"/>
      <c r="D15" s="279"/>
      <c r="E15" s="279"/>
      <c r="F15" s="279"/>
      <c r="G15" s="279"/>
      <c r="H15" s="279"/>
      <c r="I15" s="285"/>
      <c r="J15" s="281"/>
      <c r="K15" s="262"/>
      <c r="L15" s="262"/>
      <c r="M15" s="262"/>
      <c r="N15" s="262"/>
      <c r="O15" s="262"/>
      <c r="P15" s="264"/>
      <c r="Q15" s="264"/>
      <c r="R15" s="264"/>
      <c r="S15" s="264"/>
      <c r="T15" s="264"/>
      <c r="U15" s="67" t="s">
        <v>421</v>
      </c>
      <c r="V15" s="50"/>
      <c r="W15" s="50"/>
      <c r="X15" s="119" t="str">
        <f>'[2]bang gia'!$C$46</f>
        <v>đồng/cây</v>
      </c>
      <c r="Y15" s="123">
        <v>10</v>
      </c>
      <c r="Z15" s="123">
        <f>'[2]bang gia'!$D$46</f>
        <v>4500000</v>
      </c>
      <c r="AA15" s="56"/>
      <c r="AB15" s="68">
        <v>1</v>
      </c>
      <c r="AC15" s="118">
        <f>Y15*Z15*AB15</f>
        <v>45000000</v>
      </c>
      <c r="AD15" s="262"/>
      <c r="AE15" s="268"/>
      <c r="AF15" s="278"/>
      <c r="AG15" s="59"/>
      <c r="AH15" s="59"/>
      <c r="AI15" s="59"/>
      <c r="AJ15" s="59"/>
      <c r="AK15" s="59"/>
    </row>
    <row r="16" spans="1:37" s="25" customFormat="1" ht="27" customHeight="1">
      <c r="A16" s="262"/>
      <c r="B16" s="258"/>
      <c r="C16" s="56"/>
      <c r="D16" s="279"/>
      <c r="E16" s="279"/>
      <c r="F16" s="279"/>
      <c r="G16" s="279"/>
      <c r="H16" s="279"/>
      <c r="I16" s="285"/>
      <c r="J16" s="281"/>
      <c r="K16" s="262"/>
      <c r="L16" s="262"/>
      <c r="M16" s="262"/>
      <c r="N16" s="262"/>
      <c r="O16" s="262"/>
      <c r="P16" s="264"/>
      <c r="Q16" s="264"/>
      <c r="R16" s="264"/>
      <c r="S16" s="264"/>
      <c r="T16" s="264"/>
      <c r="U16" s="67" t="s">
        <v>423</v>
      </c>
      <c r="V16" s="50"/>
      <c r="W16" s="50">
        <f>0.3*W14</f>
        <v>3.024</v>
      </c>
      <c r="X16" s="119" t="str">
        <f>'[2]bang gia'!$C$46</f>
        <v>đồng/cây</v>
      </c>
      <c r="Y16" s="123">
        <v>3</v>
      </c>
      <c r="Z16" s="123">
        <f>'[2]bang gia'!$D$46</f>
        <v>4500000</v>
      </c>
      <c r="AA16" s="56"/>
      <c r="AB16" s="57">
        <v>0.5</v>
      </c>
      <c r="AC16" s="118">
        <f>Y16*Z16*AB16</f>
        <v>6750000</v>
      </c>
      <c r="AD16" s="262"/>
      <c r="AE16" s="268"/>
      <c r="AF16" s="58"/>
      <c r="AG16" s="59"/>
      <c r="AH16" s="59"/>
      <c r="AI16" s="59"/>
      <c r="AJ16" s="59"/>
      <c r="AK16" s="59"/>
    </row>
    <row r="17" spans="1:37" s="25" customFormat="1" ht="27" customHeight="1">
      <c r="A17" s="262"/>
      <c r="B17" s="258"/>
      <c r="C17" s="56"/>
      <c r="D17" s="279"/>
      <c r="E17" s="279"/>
      <c r="F17" s="279"/>
      <c r="G17" s="279"/>
      <c r="H17" s="279"/>
      <c r="I17" s="286"/>
      <c r="J17" s="281"/>
      <c r="K17" s="262"/>
      <c r="L17" s="262"/>
      <c r="M17" s="262"/>
      <c r="N17" s="262"/>
      <c r="O17" s="262"/>
      <c r="P17" s="264"/>
      <c r="Q17" s="264"/>
      <c r="R17" s="264"/>
      <c r="S17" s="264"/>
      <c r="T17" s="264"/>
      <c r="U17" s="124" t="s">
        <v>600</v>
      </c>
      <c r="V17" s="117"/>
      <c r="W17" s="117"/>
      <c r="X17" s="119" t="s">
        <v>628</v>
      </c>
      <c r="Y17" s="114">
        <v>0.3</v>
      </c>
      <c r="Z17" s="117"/>
      <c r="AA17" s="56"/>
      <c r="AB17" s="57">
        <v>0</v>
      </c>
      <c r="AC17" s="119">
        <f>Y17*Z17*AB17</f>
        <v>0</v>
      </c>
      <c r="AD17" s="262"/>
      <c r="AE17" s="268"/>
      <c r="AF17" s="58"/>
      <c r="AG17" s="59"/>
      <c r="AH17" s="59"/>
      <c r="AI17" s="59"/>
      <c r="AJ17" s="59"/>
      <c r="AK17" s="59"/>
    </row>
    <row r="18" spans="1:37" s="25" customFormat="1" ht="33.75" customHeight="1">
      <c r="A18" s="262"/>
      <c r="B18" s="258"/>
      <c r="C18" s="56"/>
      <c r="D18" s="279">
        <v>64</v>
      </c>
      <c r="E18" s="279">
        <v>345</v>
      </c>
      <c r="F18" s="279">
        <v>359.5</v>
      </c>
      <c r="G18" s="279" t="s">
        <v>28</v>
      </c>
      <c r="H18" s="262">
        <v>360</v>
      </c>
      <c r="I18" s="274">
        <f>F18-H18</f>
        <v>-0.5</v>
      </c>
      <c r="J18" s="281"/>
      <c r="K18" s="262"/>
      <c r="L18" s="262"/>
      <c r="M18" s="262"/>
      <c r="N18" s="262"/>
      <c r="O18" s="262"/>
      <c r="P18" s="264"/>
      <c r="Q18" s="264"/>
      <c r="R18" s="264"/>
      <c r="S18" s="264"/>
      <c r="T18" s="264"/>
      <c r="U18" s="65" t="s">
        <v>465</v>
      </c>
      <c r="V18" s="50">
        <v>25</v>
      </c>
      <c r="W18" s="50">
        <f>H18/V18</f>
        <v>14.4</v>
      </c>
      <c r="X18" s="119" t="str">
        <f>'[1]bang gia'!$C$46</f>
        <v>đồng/cây</v>
      </c>
      <c r="Y18" s="123">
        <v>20</v>
      </c>
      <c r="Z18" s="123"/>
      <c r="AA18" s="56"/>
      <c r="AB18" s="119"/>
      <c r="AC18" s="118"/>
      <c r="AD18" s="264">
        <f>SUM(AC18:AC24)</f>
        <v>72000000</v>
      </c>
      <c r="AE18" s="268"/>
      <c r="AF18" s="278" t="s">
        <v>415</v>
      </c>
      <c r="AG18" s="59"/>
      <c r="AH18" s="59"/>
      <c r="AI18" s="59"/>
      <c r="AJ18" s="59"/>
      <c r="AK18" s="59"/>
    </row>
    <row r="19" spans="1:37" s="25" customFormat="1" ht="22.5" customHeight="1">
      <c r="A19" s="262"/>
      <c r="B19" s="258"/>
      <c r="C19" s="56"/>
      <c r="D19" s="279"/>
      <c r="E19" s="279"/>
      <c r="F19" s="279"/>
      <c r="G19" s="279"/>
      <c r="H19" s="262"/>
      <c r="I19" s="275"/>
      <c r="J19" s="281"/>
      <c r="K19" s="262"/>
      <c r="L19" s="262"/>
      <c r="M19" s="262"/>
      <c r="N19" s="262"/>
      <c r="O19" s="262"/>
      <c r="P19" s="264"/>
      <c r="Q19" s="264"/>
      <c r="R19" s="264"/>
      <c r="S19" s="264"/>
      <c r="T19" s="264"/>
      <c r="U19" s="67" t="s">
        <v>421</v>
      </c>
      <c r="V19" s="50"/>
      <c r="W19" s="50"/>
      <c r="X19" s="119" t="str">
        <f>'[1]bang gia'!$C$46</f>
        <v>đồng/cây</v>
      </c>
      <c r="Y19" s="123">
        <v>14</v>
      </c>
      <c r="Z19" s="123">
        <f>'[1]bang gia'!$D$46</f>
        <v>4500000</v>
      </c>
      <c r="AA19" s="56"/>
      <c r="AB19" s="57">
        <v>1</v>
      </c>
      <c r="AC19" s="118">
        <f t="shared" ref="AC19:AC21" si="1">Y19*Z19*AB19</f>
        <v>63000000</v>
      </c>
      <c r="AD19" s="264"/>
      <c r="AE19" s="268"/>
      <c r="AF19" s="278"/>
      <c r="AG19" s="59"/>
      <c r="AH19" s="59"/>
      <c r="AI19" s="59"/>
      <c r="AJ19" s="59"/>
      <c r="AK19" s="59"/>
    </row>
    <row r="20" spans="1:37" s="25" customFormat="1" ht="22.5" customHeight="1">
      <c r="A20" s="262"/>
      <c r="B20" s="258"/>
      <c r="C20" s="56"/>
      <c r="D20" s="279"/>
      <c r="E20" s="279"/>
      <c r="F20" s="279"/>
      <c r="G20" s="279"/>
      <c r="H20" s="262"/>
      <c r="I20" s="275"/>
      <c r="J20" s="281"/>
      <c r="K20" s="262"/>
      <c r="L20" s="262"/>
      <c r="M20" s="262"/>
      <c r="N20" s="262"/>
      <c r="O20" s="262"/>
      <c r="P20" s="264"/>
      <c r="Q20" s="264"/>
      <c r="R20" s="264"/>
      <c r="S20" s="264"/>
      <c r="T20" s="264"/>
      <c r="U20" s="67" t="s">
        <v>423</v>
      </c>
      <c r="V20" s="50"/>
      <c r="W20" s="50">
        <f>W18*0.3</f>
        <v>4.32</v>
      </c>
      <c r="X20" s="119" t="str">
        <f>'[1]bang gia'!$C$46</f>
        <v>đồng/cây</v>
      </c>
      <c r="Y20" s="123">
        <v>4</v>
      </c>
      <c r="Z20" s="123">
        <f>'[1]bang gia'!$D$46</f>
        <v>4500000</v>
      </c>
      <c r="AA20" s="56"/>
      <c r="AB20" s="57">
        <v>0.5</v>
      </c>
      <c r="AC20" s="118">
        <f t="shared" si="1"/>
        <v>9000000</v>
      </c>
      <c r="AD20" s="264"/>
      <c r="AE20" s="268"/>
      <c r="AF20" s="58"/>
      <c r="AG20" s="59"/>
      <c r="AH20" s="59"/>
      <c r="AI20" s="59"/>
      <c r="AJ20" s="59"/>
      <c r="AK20" s="59"/>
    </row>
    <row r="21" spans="1:37" s="25" customFormat="1" ht="22.5" customHeight="1">
      <c r="A21" s="262"/>
      <c r="B21" s="258"/>
      <c r="C21" s="56"/>
      <c r="D21" s="279"/>
      <c r="E21" s="279"/>
      <c r="F21" s="279"/>
      <c r="G21" s="279"/>
      <c r="H21" s="262"/>
      <c r="I21" s="275"/>
      <c r="J21" s="281"/>
      <c r="K21" s="262"/>
      <c r="L21" s="262"/>
      <c r="M21" s="262"/>
      <c r="N21" s="262"/>
      <c r="O21" s="262"/>
      <c r="P21" s="264"/>
      <c r="Q21" s="264"/>
      <c r="R21" s="264"/>
      <c r="S21" s="264"/>
      <c r="T21" s="264"/>
      <c r="U21" s="67" t="s">
        <v>424</v>
      </c>
      <c r="V21" s="50"/>
      <c r="W21" s="50"/>
      <c r="X21" s="119" t="str">
        <f>'[1]bang gia'!$C$46</f>
        <v>đồng/cây</v>
      </c>
      <c r="Y21" s="123">
        <v>2</v>
      </c>
      <c r="Z21" s="123">
        <f>'[1]bang gia'!$D$46</f>
        <v>4500000</v>
      </c>
      <c r="AA21" s="56"/>
      <c r="AB21" s="57">
        <v>0</v>
      </c>
      <c r="AC21" s="118">
        <f t="shared" si="1"/>
        <v>0</v>
      </c>
      <c r="AD21" s="264"/>
      <c r="AE21" s="268"/>
      <c r="AF21" s="58"/>
      <c r="AG21" s="59"/>
      <c r="AH21" s="59"/>
      <c r="AI21" s="59"/>
      <c r="AJ21" s="59"/>
      <c r="AK21" s="59"/>
    </row>
    <row r="22" spans="1:37" s="25" customFormat="1" ht="33.75" customHeight="1">
      <c r="A22" s="262"/>
      <c r="B22" s="258"/>
      <c r="C22" s="56"/>
      <c r="D22" s="279"/>
      <c r="E22" s="279"/>
      <c r="F22" s="279"/>
      <c r="G22" s="279"/>
      <c r="H22" s="262"/>
      <c r="I22" s="275"/>
      <c r="J22" s="281"/>
      <c r="K22" s="262"/>
      <c r="L22" s="262"/>
      <c r="M22" s="262"/>
      <c r="N22" s="262"/>
      <c r="O22" s="262"/>
      <c r="P22" s="264"/>
      <c r="Q22" s="264"/>
      <c r="R22" s="264"/>
      <c r="S22" s="264"/>
      <c r="T22" s="264"/>
      <c r="U22" s="120" t="s">
        <v>601</v>
      </c>
      <c r="V22" s="117"/>
      <c r="W22" s="117"/>
      <c r="X22" s="117" t="s">
        <v>6</v>
      </c>
      <c r="Y22" s="123">
        <f>144*1</f>
        <v>144</v>
      </c>
      <c r="Z22" s="117"/>
      <c r="AA22" s="56"/>
      <c r="AB22" s="57">
        <v>0</v>
      </c>
      <c r="AC22" s="119">
        <v>0</v>
      </c>
      <c r="AD22" s="262"/>
      <c r="AE22" s="268"/>
      <c r="AF22" s="58"/>
      <c r="AG22" s="59"/>
      <c r="AH22" s="59"/>
      <c r="AI22" s="59"/>
      <c r="AJ22" s="59"/>
      <c r="AK22" s="59"/>
    </row>
    <row r="23" spans="1:37" s="25" customFormat="1" ht="27" customHeight="1">
      <c r="A23" s="262"/>
      <c r="B23" s="258"/>
      <c r="C23" s="56"/>
      <c r="D23" s="279"/>
      <c r="E23" s="279"/>
      <c r="F23" s="279"/>
      <c r="G23" s="279"/>
      <c r="H23" s="262"/>
      <c r="I23" s="275"/>
      <c r="J23" s="281"/>
      <c r="K23" s="262"/>
      <c r="L23" s="262"/>
      <c r="M23" s="262"/>
      <c r="N23" s="262"/>
      <c r="O23" s="262"/>
      <c r="P23" s="264"/>
      <c r="Q23" s="264"/>
      <c r="R23" s="264"/>
      <c r="S23" s="264"/>
      <c r="T23" s="264"/>
      <c r="U23" s="124" t="s">
        <v>602</v>
      </c>
      <c r="V23" s="117"/>
      <c r="W23" s="117"/>
      <c r="X23" s="119" t="s">
        <v>628</v>
      </c>
      <c r="Y23" s="70">
        <v>1.2</v>
      </c>
      <c r="Z23" s="119"/>
      <c r="AA23" s="56"/>
      <c r="AB23" s="57">
        <v>0</v>
      </c>
      <c r="AC23" s="119">
        <v>0</v>
      </c>
      <c r="AD23" s="262"/>
      <c r="AE23" s="268"/>
      <c r="AF23" s="58"/>
      <c r="AG23" s="59"/>
      <c r="AH23" s="59"/>
      <c r="AI23" s="59"/>
      <c r="AJ23" s="59"/>
      <c r="AK23" s="59"/>
    </row>
    <row r="24" spans="1:37" s="25" customFormat="1" ht="27" customHeight="1">
      <c r="A24" s="262"/>
      <c r="B24" s="258"/>
      <c r="C24" s="56"/>
      <c r="D24" s="279"/>
      <c r="E24" s="279"/>
      <c r="F24" s="279"/>
      <c r="G24" s="279"/>
      <c r="H24" s="262"/>
      <c r="I24" s="276"/>
      <c r="J24" s="282"/>
      <c r="K24" s="262"/>
      <c r="L24" s="262"/>
      <c r="M24" s="262"/>
      <c r="N24" s="262"/>
      <c r="O24" s="262"/>
      <c r="P24" s="264"/>
      <c r="Q24" s="264"/>
      <c r="R24" s="264"/>
      <c r="S24" s="264"/>
      <c r="T24" s="264"/>
      <c r="U24" s="124" t="s">
        <v>603</v>
      </c>
      <c r="V24" s="117"/>
      <c r="W24" s="117"/>
      <c r="X24" s="117" t="s">
        <v>399</v>
      </c>
      <c r="Y24" s="118">
        <v>1</v>
      </c>
      <c r="Z24" s="123"/>
      <c r="AA24" s="56"/>
      <c r="AB24" s="57">
        <v>0</v>
      </c>
      <c r="AC24" s="119">
        <v>0</v>
      </c>
      <c r="AD24" s="262"/>
      <c r="AE24" s="268"/>
      <c r="AF24" s="58"/>
      <c r="AG24" s="59"/>
      <c r="AH24" s="59"/>
      <c r="AI24" s="59"/>
      <c r="AJ24" s="59"/>
      <c r="AK24" s="59"/>
    </row>
    <row r="25" spans="1:37" s="25" customFormat="1" ht="35.25" customHeight="1">
      <c r="A25" s="119">
        <v>6</v>
      </c>
      <c r="B25" s="124" t="s">
        <v>590</v>
      </c>
      <c r="C25" s="56"/>
      <c r="D25" s="128">
        <v>64</v>
      </c>
      <c r="E25" s="128">
        <v>383</v>
      </c>
      <c r="F25" s="128">
        <v>253</v>
      </c>
      <c r="G25" s="128" t="s">
        <v>397</v>
      </c>
      <c r="H25" s="119">
        <v>252</v>
      </c>
      <c r="I25" s="119">
        <f>F25-H25</f>
        <v>1</v>
      </c>
      <c r="J25" s="122">
        <v>252</v>
      </c>
      <c r="K25" s="119">
        <v>648</v>
      </c>
      <c r="L25" s="119"/>
      <c r="M25" s="122">
        <f>J25/K25*100</f>
        <v>38.888888888888893</v>
      </c>
      <c r="N25" s="123">
        <f>IF(M25&lt;10,2,IF(M25&lt;20,3,IF(M25&lt;30,5,IF(M25&gt;=70,12,IF(M25&gt;=30,6)))))</f>
        <v>6</v>
      </c>
      <c r="O25" s="123">
        <v>3</v>
      </c>
      <c r="P25" s="123">
        <f>$P$6</f>
        <v>80000</v>
      </c>
      <c r="Q25" s="123">
        <f>J25*P25</f>
        <v>20160000</v>
      </c>
      <c r="R25" s="123">
        <f>Q25*3</f>
        <v>60480000</v>
      </c>
      <c r="S25" s="123">
        <f>N25*O25*17000*30</f>
        <v>9180000</v>
      </c>
      <c r="T25" s="123">
        <f>S25+R25+Q25</f>
        <v>89820000</v>
      </c>
      <c r="U25" s="124" t="s">
        <v>591</v>
      </c>
      <c r="V25" s="50"/>
      <c r="W25" s="50"/>
      <c r="X25" s="50" t="s">
        <v>0</v>
      </c>
      <c r="Y25" s="118">
        <v>252</v>
      </c>
      <c r="Z25" s="123">
        <v>97000</v>
      </c>
      <c r="AA25" s="56"/>
      <c r="AB25" s="57">
        <v>1</v>
      </c>
      <c r="AC25" s="118">
        <f>Y25*Z25*AB25</f>
        <v>24444000</v>
      </c>
      <c r="AD25" s="123">
        <f>AC25</f>
        <v>24444000</v>
      </c>
      <c r="AE25" s="121">
        <f>AD25+T25</f>
        <v>114264000</v>
      </c>
      <c r="AF25" s="58"/>
      <c r="AG25" s="59"/>
      <c r="AH25" s="59"/>
      <c r="AI25" s="59"/>
      <c r="AJ25" s="59"/>
      <c r="AK25" s="59"/>
    </row>
    <row r="26" spans="1:37" s="17" customFormat="1" ht="27" customHeight="1">
      <c r="A26" s="131"/>
      <c r="B26" s="72" t="s">
        <v>407</v>
      </c>
      <c r="C26" s="73"/>
      <c r="D26" s="74"/>
      <c r="E26" s="74"/>
      <c r="F26" s="74"/>
      <c r="G26" s="74"/>
      <c r="H26" s="131"/>
      <c r="I26" s="75"/>
      <c r="J26" s="119"/>
      <c r="K26" s="119"/>
      <c r="L26" s="131"/>
      <c r="M26" s="76"/>
      <c r="N26" s="121"/>
      <c r="O26" s="121"/>
      <c r="P26" s="121"/>
      <c r="Q26" s="121"/>
      <c r="R26" s="121"/>
      <c r="S26" s="121"/>
      <c r="T26" s="121"/>
      <c r="U26" s="36"/>
      <c r="V26" s="75"/>
      <c r="W26" s="75"/>
      <c r="X26" s="131"/>
      <c r="Y26" s="121"/>
      <c r="Z26" s="121"/>
      <c r="AA26" s="73"/>
      <c r="AB26" s="125"/>
      <c r="AC26" s="116"/>
      <c r="AD26" s="121"/>
      <c r="AE26" s="121"/>
      <c r="AF26" s="77"/>
      <c r="AG26" s="78"/>
      <c r="AH26" s="78"/>
      <c r="AI26" s="78"/>
      <c r="AJ26" s="78"/>
      <c r="AK26" s="78"/>
    </row>
    <row r="27" spans="1:37" s="19" customFormat="1" ht="37.5" customHeight="1">
      <c r="A27" s="262">
        <v>7</v>
      </c>
      <c r="B27" s="263" t="s">
        <v>466</v>
      </c>
      <c r="C27" s="119"/>
      <c r="D27" s="258">
        <v>64</v>
      </c>
      <c r="E27" s="258">
        <v>418</v>
      </c>
      <c r="F27" s="258">
        <v>1074.5999999999999</v>
      </c>
      <c r="G27" s="258" t="s">
        <v>28</v>
      </c>
      <c r="H27" s="250">
        <v>1080</v>
      </c>
      <c r="I27" s="256">
        <f>F27-H27</f>
        <v>-5.4000000000000909</v>
      </c>
      <c r="J27" s="264">
        <v>1080</v>
      </c>
      <c r="K27" s="264">
        <v>1440</v>
      </c>
      <c r="L27" s="119"/>
      <c r="M27" s="269">
        <f>J27/K27*100</f>
        <v>75</v>
      </c>
      <c r="N27" s="264">
        <v>12</v>
      </c>
      <c r="O27" s="264">
        <v>7</v>
      </c>
      <c r="P27" s="264">
        <v>80000</v>
      </c>
      <c r="Q27" s="264">
        <f>P27*J27</f>
        <v>86400000</v>
      </c>
      <c r="R27" s="264">
        <f>Q27*3</f>
        <v>259200000</v>
      </c>
      <c r="S27" s="264">
        <f>N27*O27*17000*30</f>
        <v>42840000</v>
      </c>
      <c r="T27" s="264">
        <f>SUM(Q27:S40)</f>
        <v>388440000</v>
      </c>
      <c r="U27" s="65" t="s">
        <v>457</v>
      </c>
      <c r="V27" s="126">
        <v>25</v>
      </c>
      <c r="W27" s="126">
        <f>(H27-Y29-6-1)/V27</f>
        <v>21.32</v>
      </c>
      <c r="X27" s="117" t="s">
        <v>2</v>
      </c>
      <c r="Y27" s="118">
        <v>14</v>
      </c>
      <c r="Z27" s="62"/>
      <c r="AA27" s="79"/>
      <c r="AB27" s="80"/>
      <c r="AC27" s="118"/>
      <c r="AD27" s="250">
        <f>SUM(AC27:AC40)</f>
        <v>173950000</v>
      </c>
      <c r="AE27" s="251">
        <f>T27+AD27</f>
        <v>562390000</v>
      </c>
      <c r="AF27" s="31" t="s">
        <v>428</v>
      </c>
      <c r="AG27" s="81"/>
      <c r="AH27" s="81"/>
      <c r="AI27" s="81"/>
      <c r="AJ27" s="81"/>
      <c r="AK27" s="81"/>
    </row>
    <row r="28" spans="1:37" s="19" customFormat="1" ht="21.75" customHeight="1">
      <c r="A28" s="262"/>
      <c r="B28" s="263"/>
      <c r="C28" s="119"/>
      <c r="D28" s="258"/>
      <c r="E28" s="258"/>
      <c r="F28" s="258"/>
      <c r="G28" s="258"/>
      <c r="H28" s="250"/>
      <c r="I28" s="256"/>
      <c r="J28" s="264"/>
      <c r="K28" s="264"/>
      <c r="L28" s="119"/>
      <c r="M28" s="269"/>
      <c r="N28" s="264"/>
      <c r="O28" s="264"/>
      <c r="P28" s="264"/>
      <c r="Q28" s="264"/>
      <c r="R28" s="264"/>
      <c r="S28" s="264"/>
      <c r="T28" s="264"/>
      <c r="U28" s="67" t="s">
        <v>421</v>
      </c>
      <c r="V28" s="126"/>
      <c r="W28" s="126"/>
      <c r="X28" s="117" t="s">
        <v>2</v>
      </c>
      <c r="Y28" s="118">
        <v>14</v>
      </c>
      <c r="Z28" s="62">
        <v>4500000</v>
      </c>
      <c r="AA28" s="79"/>
      <c r="AB28" s="80">
        <v>1</v>
      </c>
      <c r="AC28" s="118">
        <f>Y28*Z28*AB28</f>
        <v>63000000</v>
      </c>
      <c r="AD28" s="250"/>
      <c r="AE28" s="251"/>
      <c r="AF28" s="31"/>
      <c r="AG28" s="81"/>
      <c r="AH28" s="81"/>
      <c r="AI28" s="81"/>
      <c r="AJ28" s="81"/>
      <c r="AK28" s="81"/>
    </row>
    <row r="29" spans="1:37" s="19" customFormat="1" ht="21.75" customHeight="1">
      <c r="A29" s="262"/>
      <c r="B29" s="263"/>
      <c r="C29" s="119"/>
      <c r="D29" s="258"/>
      <c r="E29" s="258"/>
      <c r="F29" s="258"/>
      <c r="G29" s="258"/>
      <c r="H29" s="250"/>
      <c r="I29" s="256"/>
      <c r="J29" s="264"/>
      <c r="K29" s="264"/>
      <c r="L29" s="119"/>
      <c r="M29" s="269"/>
      <c r="N29" s="264"/>
      <c r="O29" s="264"/>
      <c r="P29" s="264"/>
      <c r="Q29" s="264"/>
      <c r="R29" s="264"/>
      <c r="S29" s="264"/>
      <c r="T29" s="264"/>
      <c r="U29" s="82" t="s">
        <v>467</v>
      </c>
      <c r="V29" s="126"/>
      <c r="W29" s="126"/>
      <c r="X29" s="117" t="s">
        <v>0</v>
      </c>
      <c r="Y29" s="83">
        <v>540</v>
      </c>
      <c r="Z29" s="62">
        <v>180000</v>
      </c>
      <c r="AA29" s="84"/>
      <c r="AB29" s="68">
        <v>1</v>
      </c>
      <c r="AC29" s="118">
        <f>Y29*Z29*AB29</f>
        <v>97200000</v>
      </c>
      <c r="AD29" s="250"/>
      <c r="AE29" s="251"/>
      <c r="AF29" s="31"/>
      <c r="AG29" s="81"/>
      <c r="AH29" s="81"/>
      <c r="AI29" s="81"/>
      <c r="AJ29" s="81"/>
      <c r="AK29" s="81"/>
    </row>
    <row r="30" spans="1:37" s="19" customFormat="1" ht="33.75" customHeight="1">
      <c r="A30" s="262"/>
      <c r="B30" s="263"/>
      <c r="C30" s="119"/>
      <c r="D30" s="258"/>
      <c r="E30" s="258"/>
      <c r="F30" s="258"/>
      <c r="G30" s="258"/>
      <c r="H30" s="250"/>
      <c r="I30" s="256"/>
      <c r="J30" s="264"/>
      <c r="K30" s="264"/>
      <c r="L30" s="119"/>
      <c r="M30" s="269"/>
      <c r="N30" s="264"/>
      <c r="O30" s="264"/>
      <c r="P30" s="264"/>
      <c r="Q30" s="264"/>
      <c r="R30" s="264"/>
      <c r="S30" s="264"/>
      <c r="T30" s="264"/>
      <c r="U30" s="65" t="s">
        <v>468</v>
      </c>
      <c r="V30" s="126"/>
      <c r="W30" s="126"/>
      <c r="X30" s="117" t="s">
        <v>2</v>
      </c>
      <c r="Y30" s="118">
        <v>5</v>
      </c>
      <c r="Z30" s="62"/>
      <c r="AA30" s="79"/>
      <c r="AB30" s="80"/>
      <c r="AC30" s="118">
        <f t="shared" ref="AC30:AC31" si="2">Y30*Z30*AB30</f>
        <v>0</v>
      </c>
      <c r="AD30" s="250"/>
      <c r="AE30" s="251"/>
      <c r="AF30" s="31"/>
      <c r="AG30" s="81"/>
      <c r="AH30" s="81"/>
      <c r="AI30" s="81"/>
      <c r="AJ30" s="81"/>
      <c r="AK30" s="81"/>
    </row>
    <row r="31" spans="1:37" s="19" customFormat="1" ht="21.75" customHeight="1">
      <c r="A31" s="262"/>
      <c r="B31" s="263"/>
      <c r="C31" s="119"/>
      <c r="D31" s="258"/>
      <c r="E31" s="258"/>
      <c r="F31" s="258"/>
      <c r="G31" s="258"/>
      <c r="H31" s="250"/>
      <c r="I31" s="256"/>
      <c r="J31" s="264"/>
      <c r="K31" s="264"/>
      <c r="L31" s="119"/>
      <c r="M31" s="269"/>
      <c r="N31" s="264"/>
      <c r="O31" s="264"/>
      <c r="P31" s="264"/>
      <c r="Q31" s="264"/>
      <c r="R31" s="264"/>
      <c r="S31" s="264"/>
      <c r="T31" s="264"/>
      <c r="U31" s="67" t="s">
        <v>421</v>
      </c>
      <c r="V31" s="126">
        <v>20</v>
      </c>
      <c r="W31" s="126">
        <f>(1080-Y29-6-1)/V31</f>
        <v>26.65</v>
      </c>
      <c r="X31" s="117" t="s">
        <v>2</v>
      </c>
      <c r="Y31" s="118">
        <v>5</v>
      </c>
      <c r="Z31" s="62">
        <v>2500000</v>
      </c>
      <c r="AA31" s="79"/>
      <c r="AB31" s="68">
        <v>0.5</v>
      </c>
      <c r="AC31" s="118">
        <f t="shared" si="2"/>
        <v>6250000</v>
      </c>
      <c r="AD31" s="250"/>
      <c r="AE31" s="251"/>
      <c r="AF31" s="31"/>
      <c r="AG31" s="81"/>
      <c r="AH31" s="81"/>
      <c r="AI31" s="81"/>
      <c r="AJ31" s="81"/>
      <c r="AK31" s="81"/>
    </row>
    <row r="32" spans="1:37" s="19" customFormat="1" ht="33" customHeight="1">
      <c r="A32" s="262"/>
      <c r="B32" s="263"/>
      <c r="C32" s="119"/>
      <c r="D32" s="258"/>
      <c r="E32" s="258"/>
      <c r="F32" s="258"/>
      <c r="G32" s="258"/>
      <c r="H32" s="250"/>
      <c r="I32" s="256"/>
      <c r="J32" s="264"/>
      <c r="K32" s="264"/>
      <c r="L32" s="119"/>
      <c r="M32" s="269"/>
      <c r="N32" s="264"/>
      <c r="O32" s="264"/>
      <c r="P32" s="264"/>
      <c r="Q32" s="264"/>
      <c r="R32" s="264"/>
      <c r="S32" s="264"/>
      <c r="T32" s="264"/>
      <c r="U32" s="65" t="s">
        <v>469</v>
      </c>
      <c r="V32" s="126">
        <v>25</v>
      </c>
      <c r="W32" s="126">
        <f>(1080-Y30-6-1)/V32</f>
        <v>42.72</v>
      </c>
      <c r="X32" s="117" t="s">
        <v>2</v>
      </c>
      <c r="Y32" s="118">
        <v>15</v>
      </c>
      <c r="Z32" s="62"/>
      <c r="AA32" s="79"/>
      <c r="AB32" s="80"/>
      <c r="AC32" s="118"/>
      <c r="AD32" s="250"/>
      <c r="AE32" s="251"/>
      <c r="AF32" s="31"/>
      <c r="AG32" s="81"/>
      <c r="AH32" s="81"/>
      <c r="AI32" s="81"/>
      <c r="AJ32" s="81"/>
      <c r="AK32" s="81"/>
    </row>
    <row r="33" spans="1:37" s="19" customFormat="1" ht="23.25" customHeight="1">
      <c r="A33" s="262"/>
      <c r="B33" s="263"/>
      <c r="C33" s="119"/>
      <c r="D33" s="258"/>
      <c r="E33" s="258"/>
      <c r="F33" s="258"/>
      <c r="G33" s="258"/>
      <c r="H33" s="250"/>
      <c r="I33" s="256"/>
      <c r="J33" s="264"/>
      <c r="K33" s="264"/>
      <c r="L33" s="119"/>
      <c r="M33" s="269"/>
      <c r="N33" s="264"/>
      <c r="O33" s="264"/>
      <c r="P33" s="264"/>
      <c r="Q33" s="264"/>
      <c r="R33" s="264"/>
      <c r="S33" s="264"/>
      <c r="T33" s="264"/>
      <c r="U33" s="67" t="s">
        <v>421</v>
      </c>
      <c r="V33" s="126"/>
      <c r="W33" s="126"/>
      <c r="X33" s="117" t="s">
        <v>2</v>
      </c>
      <c r="Y33" s="118">
        <v>15</v>
      </c>
      <c r="Z33" s="62">
        <v>1000000</v>
      </c>
      <c r="AA33" s="79"/>
      <c r="AB33" s="68">
        <v>0.5</v>
      </c>
      <c r="AC33" s="118">
        <f t="shared" ref="AC33:AC41" si="3">Y33*Z33*AB33</f>
        <v>7500000</v>
      </c>
      <c r="AD33" s="250"/>
      <c r="AE33" s="251"/>
      <c r="AF33" s="31"/>
      <c r="AG33" s="81"/>
      <c r="AH33" s="81"/>
      <c r="AI33" s="81"/>
      <c r="AJ33" s="81"/>
      <c r="AK33" s="81"/>
    </row>
    <row r="34" spans="1:37" s="19" customFormat="1" ht="51" customHeight="1">
      <c r="A34" s="262"/>
      <c r="B34" s="263"/>
      <c r="C34" s="119"/>
      <c r="D34" s="258"/>
      <c r="E34" s="258"/>
      <c r="F34" s="258"/>
      <c r="G34" s="258"/>
      <c r="H34" s="250"/>
      <c r="I34" s="256"/>
      <c r="J34" s="264"/>
      <c r="K34" s="264"/>
      <c r="L34" s="119"/>
      <c r="M34" s="269"/>
      <c r="N34" s="264"/>
      <c r="O34" s="264"/>
      <c r="P34" s="264"/>
      <c r="Q34" s="264"/>
      <c r="R34" s="264"/>
      <c r="S34" s="264"/>
      <c r="T34" s="264"/>
      <c r="U34" s="124" t="s">
        <v>470</v>
      </c>
      <c r="V34" s="126"/>
      <c r="W34" s="126"/>
      <c r="X34" s="117" t="s">
        <v>0</v>
      </c>
      <c r="Y34" s="118">
        <v>161</v>
      </c>
      <c r="Z34" s="62"/>
      <c r="AA34" s="79"/>
      <c r="AB34" s="80">
        <v>0</v>
      </c>
      <c r="AC34" s="118">
        <f t="shared" si="3"/>
        <v>0</v>
      </c>
      <c r="AD34" s="250"/>
      <c r="AE34" s="251"/>
      <c r="AF34" s="31"/>
      <c r="AG34" s="81"/>
      <c r="AH34" s="81"/>
      <c r="AI34" s="81"/>
      <c r="AJ34" s="81"/>
      <c r="AK34" s="81"/>
    </row>
    <row r="35" spans="1:37" s="19" customFormat="1" ht="58.5" customHeight="1">
      <c r="A35" s="262"/>
      <c r="B35" s="263"/>
      <c r="C35" s="119"/>
      <c r="D35" s="258"/>
      <c r="E35" s="258"/>
      <c r="F35" s="258"/>
      <c r="G35" s="258"/>
      <c r="H35" s="250"/>
      <c r="I35" s="256"/>
      <c r="J35" s="264"/>
      <c r="K35" s="264"/>
      <c r="L35" s="119"/>
      <c r="M35" s="269"/>
      <c r="N35" s="264"/>
      <c r="O35" s="264"/>
      <c r="P35" s="264"/>
      <c r="Q35" s="264"/>
      <c r="R35" s="264"/>
      <c r="S35" s="264"/>
      <c r="T35" s="264"/>
      <c r="U35" s="124" t="s">
        <v>471</v>
      </c>
      <c r="V35" s="126"/>
      <c r="W35" s="126"/>
      <c r="X35" s="117" t="s">
        <v>400</v>
      </c>
      <c r="Y35" s="118">
        <v>80</v>
      </c>
      <c r="Z35" s="62"/>
      <c r="AA35" s="79"/>
      <c r="AB35" s="80">
        <v>0</v>
      </c>
      <c r="AC35" s="118">
        <f t="shared" si="3"/>
        <v>0</v>
      </c>
      <c r="AD35" s="250"/>
      <c r="AE35" s="251"/>
      <c r="AF35" s="31"/>
      <c r="AG35" s="81"/>
      <c r="AH35" s="81"/>
      <c r="AI35" s="81"/>
      <c r="AJ35" s="81"/>
      <c r="AK35" s="81"/>
    </row>
    <row r="36" spans="1:37" s="19" customFormat="1" ht="53.25" customHeight="1">
      <c r="A36" s="262"/>
      <c r="B36" s="263"/>
      <c r="C36" s="119"/>
      <c r="D36" s="258"/>
      <c r="E36" s="258"/>
      <c r="F36" s="258"/>
      <c r="G36" s="258"/>
      <c r="H36" s="250"/>
      <c r="I36" s="256"/>
      <c r="J36" s="264"/>
      <c r="K36" s="264"/>
      <c r="L36" s="119"/>
      <c r="M36" s="269"/>
      <c r="N36" s="264"/>
      <c r="O36" s="264"/>
      <c r="P36" s="264"/>
      <c r="Q36" s="264"/>
      <c r="R36" s="264"/>
      <c r="S36" s="264"/>
      <c r="T36" s="264"/>
      <c r="U36" s="124" t="s">
        <v>472</v>
      </c>
      <c r="V36" s="126"/>
      <c r="W36" s="126"/>
      <c r="X36" s="117" t="s">
        <v>630</v>
      </c>
      <c r="Y36" s="118">
        <v>6</v>
      </c>
      <c r="Z36" s="62"/>
      <c r="AA36" s="79"/>
      <c r="AB36" s="80">
        <v>0</v>
      </c>
      <c r="AC36" s="118">
        <f t="shared" si="3"/>
        <v>0</v>
      </c>
      <c r="AD36" s="250"/>
      <c r="AE36" s="251"/>
      <c r="AF36" s="31"/>
      <c r="AG36" s="81"/>
      <c r="AH36" s="81"/>
      <c r="AI36" s="81"/>
      <c r="AJ36" s="81"/>
      <c r="AK36" s="81"/>
    </row>
    <row r="37" spans="1:37" s="19" customFormat="1" ht="21.75" customHeight="1">
      <c r="A37" s="262"/>
      <c r="B37" s="263"/>
      <c r="C37" s="119"/>
      <c r="D37" s="258"/>
      <c r="E37" s="258"/>
      <c r="F37" s="258"/>
      <c r="G37" s="258"/>
      <c r="H37" s="250"/>
      <c r="I37" s="256"/>
      <c r="J37" s="264"/>
      <c r="K37" s="264"/>
      <c r="L37" s="119"/>
      <c r="M37" s="269"/>
      <c r="N37" s="264"/>
      <c r="O37" s="264"/>
      <c r="P37" s="264"/>
      <c r="Q37" s="264"/>
      <c r="R37" s="264"/>
      <c r="S37" s="264"/>
      <c r="T37" s="264"/>
      <c r="U37" s="124" t="s">
        <v>473</v>
      </c>
      <c r="V37" s="126"/>
      <c r="W37" s="126"/>
      <c r="X37" s="117" t="s">
        <v>400</v>
      </c>
      <c r="Y37" s="118">
        <v>12</v>
      </c>
      <c r="Z37" s="62"/>
      <c r="AA37" s="79"/>
      <c r="AB37" s="80">
        <v>0</v>
      </c>
      <c r="AC37" s="118">
        <f t="shared" si="3"/>
        <v>0</v>
      </c>
      <c r="AD37" s="250"/>
      <c r="AE37" s="251"/>
      <c r="AF37" s="31"/>
      <c r="AG37" s="81"/>
      <c r="AH37" s="81"/>
      <c r="AI37" s="81"/>
      <c r="AJ37" s="81"/>
      <c r="AK37" s="81"/>
    </row>
    <row r="38" spans="1:37" s="19" customFormat="1" ht="30.75" customHeight="1">
      <c r="A38" s="262"/>
      <c r="B38" s="263"/>
      <c r="C38" s="119"/>
      <c r="D38" s="258"/>
      <c r="E38" s="258"/>
      <c r="F38" s="258"/>
      <c r="G38" s="258"/>
      <c r="H38" s="250"/>
      <c r="I38" s="256"/>
      <c r="J38" s="264"/>
      <c r="K38" s="264"/>
      <c r="L38" s="119"/>
      <c r="M38" s="269"/>
      <c r="N38" s="264"/>
      <c r="O38" s="264"/>
      <c r="P38" s="264"/>
      <c r="Q38" s="264"/>
      <c r="R38" s="264"/>
      <c r="S38" s="264"/>
      <c r="T38" s="264"/>
      <c r="U38" s="124" t="s">
        <v>474</v>
      </c>
      <c r="V38" s="126"/>
      <c r="W38" s="126"/>
      <c r="X38" s="117" t="s">
        <v>399</v>
      </c>
      <c r="Y38" s="118">
        <v>1</v>
      </c>
      <c r="Z38" s="62"/>
      <c r="AA38" s="79"/>
      <c r="AB38" s="80">
        <v>0</v>
      </c>
      <c r="AC38" s="118">
        <f t="shared" si="3"/>
        <v>0</v>
      </c>
      <c r="AD38" s="250"/>
      <c r="AE38" s="251"/>
      <c r="AF38" s="31"/>
      <c r="AG38" s="81"/>
      <c r="AH38" s="81"/>
      <c r="AI38" s="81"/>
      <c r="AJ38" s="81"/>
      <c r="AK38" s="81"/>
    </row>
    <row r="39" spans="1:37" s="19" customFormat="1" ht="36.75" customHeight="1">
      <c r="A39" s="262"/>
      <c r="B39" s="263"/>
      <c r="C39" s="119"/>
      <c r="D39" s="258"/>
      <c r="E39" s="258"/>
      <c r="F39" s="258"/>
      <c r="G39" s="258"/>
      <c r="H39" s="250"/>
      <c r="I39" s="256"/>
      <c r="J39" s="264"/>
      <c r="K39" s="264"/>
      <c r="L39" s="119"/>
      <c r="M39" s="269"/>
      <c r="N39" s="264"/>
      <c r="O39" s="264"/>
      <c r="P39" s="264"/>
      <c r="Q39" s="264"/>
      <c r="R39" s="264"/>
      <c r="S39" s="264"/>
      <c r="T39" s="264"/>
      <c r="U39" s="124" t="s">
        <v>475</v>
      </c>
      <c r="V39" s="126"/>
      <c r="W39" s="126"/>
      <c r="X39" s="117" t="s">
        <v>630</v>
      </c>
      <c r="Y39" s="118">
        <v>1.3</v>
      </c>
      <c r="Z39" s="62"/>
      <c r="AA39" s="79"/>
      <c r="AB39" s="80">
        <v>0</v>
      </c>
      <c r="AC39" s="118">
        <f t="shared" si="3"/>
        <v>0</v>
      </c>
      <c r="AD39" s="250"/>
      <c r="AE39" s="251"/>
      <c r="AF39" s="31"/>
      <c r="AG39" s="81"/>
      <c r="AH39" s="81"/>
      <c r="AI39" s="81"/>
      <c r="AJ39" s="81"/>
      <c r="AK39" s="81"/>
    </row>
    <row r="40" spans="1:37" s="19" customFormat="1" ht="23.25" customHeight="1">
      <c r="A40" s="262"/>
      <c r="B40" s="263"/>
      <c r="C40" s="119"/>
      <c r="D40" s="258"/>
      <c r="E40" s="258"/>
      <c r="F40" s="258"/>
      <c r="G40" s="258"/>
      <c r="H40" s="250"/>
      <c r="I40" s="256"/>
      <c r="J40" s="264"/>
      <c r="K40" s="264"/>
      <c r="L40" s="119"/>
      <c r="M40" s="269"/>
      <c r="N40" s="264"/>
      <c r="O40" s="264"/>
      <c r="P40" s="264"/>
      <c r="Q40" s="264"/>
      <c r="R40" s="264"/>
      <c r="S40" s="264"/>
      <c r="T40" s="264"/>
      <c r="U40" s="124" t="s">
        <v>476</v>
      </c>
      <c r="V40" s="110"/>
      <c r="W40" s="110"/>
      <c r="X40" s="117" t="s">
        <v>0</v>
      </c>
      <c r="Y40" s="118">
        <v>8</v>
      </c>
      <c r="Z40" s="62"/>
      <c r="AA40" s="79"/>
      <c r="AB40" s="80">
        <v>0</v>
      </c>
      <c r="AC40" s="118">
        <f t="shared" si="3"/>
        <v>0</v>
      </c>
      <c r="AD40" s="250"/>
      <c r="AE40" s="251"/>
      <c r="AF40" s="31"/>
      <c r="AG40" s="81"/>
      <c r="AH40" s="81"/>
      <c r="AI40" s="81"/>
      <c r="AJ40" s="81"/>
      <c r="AK40" s="81"/>
    </row>
    <row r="41" spans="1:37" s="19" customFormat="1" ht="24" customHeight="1">
      <c r="A41" s="262">
        <v>8</v>
      </c>
      <c r="B41" s="271" t="s">
        <v>494</v>
      </c>
      <c r="C41" s="258" t="s">
        <v>39</v>
      </c>
      <c r="D41" s="258">
        <v>64</v>
      </c>
      <c r="E41" s="258">
        <v>414</v>
      </c>
      <c r="F41" s="258">
        <v>1432.8</v>
      </c>
      <c r="G41" s="258" t="s">
        <v>28</v>
      </c>
      <c r="H41" s="250">
        <v>1440</v>
      </c>
      <c r="I41" s="256">
        <f>F41-H41</f>
        <v>-7.2000000000000455</v>
      </c>
      <c r="J41" s="250">
        <f>H41+H58</f>
        <v>1836</v>
      </c>
      <c r="K41" s="250">
        <v>3276</v>
      </c>
      <c r="L41" s="250"/>
      <c r="M41" s="256">
        <f>J41/K41*100</f>
        <v>56.043956043956044</v>
      </c>
      <c r="N41" s="250">
        <v>6</v>
      </c>
      <c r="O41" s="250">
        <v>5</v>
      </c>
      <c r="P41" s="250">
        <v>80000</v>
      </c>
      <c r="Q41" s="250">
        <f>P41*J41</f>
        <v>146880000</v>
      </c>
      <c r="R41" s="250">
        <f>Q41*3</f>
        <v>440640000</v>
      </c>
      <c r="S41" s="250">
        <f>N41*O41*17000*30</f>
        <v>15300000</v>
      </c>
      <c r="T41" s="250">
        <f>SUM(Q41:S58)</f>
        <v>602820000</v>
      </c>
      <c r="U41" s="82" t="s">
        <v>446</v>
      </c>
      <c r="V41" s="126"/>
      <c r="W41" s="126"/>
      <c r="X41" s="117" t="s">
        <v>0</v>
      </c>
      <c r="Y41" s="83">
        <v>720</v>
      </c>
      <c r="Z41" s="62">
        <v>180000</v>
      </c>
      <c r="AA41" s="84"/>
      <c r="AB41" s="68">
        <v>1</v>
      </c>
      <c r="AC41" s="118">
        <f t="shared" si="3"/>
        <v>129600000</v>
      </c>
      <c r="AD41" s="250">
        <f>SUM(AC41:AC57)</f>
        <v>257652000</v>
      </c>
      <c r="AE41" s="251">
        <f>T41+AD41+AD58</f>
        <v>931212000</v>
      </c>
      <c r="AF41" s="31" t="s">
        <v>398</v>
      </c>
      <c r="AG41" s="81"/>
      <c r="AH41" s="81"/>
      <c r="AI41" s="81"/>
      <c r="AJ41" s="81"/>
      <c r="AK41" s="81"/>
    </row>
    <row r="42" spans="1:37" s="19" customFormat="1" ht="34.5" customHeight="1">
      <c r="A42" s="262"/>
      <c r="B42" s="271"/>
      <c r="C42" s="258"/>
      <c r="D42" s="258"/>
      <c r="E42" s="258"/>
      <c r="F42" s="258"/>
      <c r="G42" s="258"/>
      <c r="H42" s="250"/>
      <c r="I42" s="256"/>
      <c r="J42" s="250"/>
      <c r="K42" s="250"/>
      <c r="L42" s="250"/>
      <c r="M42" s="256"/>
      <c r="N42" s="250"/>
      <c r="O42" s="250"/>
      <c r="P42" s="250"/>
      <c r="Q42" s="250"/>
      <c r="R42" s="250"/>
      <c r="S42" s="250"/>
      <c r="T42" s="250"/>
      <c r="U42" s="65" t="s">
        <v>495</v>
      </c>
      <c r="V42" s="126">
        <v>25</v>
      </c>
      <c r="W42" s="126">
        <f>(H41-Y41-Y49-8)/25</f>
        <v>27.52</v>
      </c>
      <c r="X42" s="117" t="s">
        <v>2</v>
      </c>
      <c r="Y42" s="118">
        <v>32</v>
      </c>
      <c r="Z42" s="62"/>
      <c r="AA42" s="79"/>
      <c r="AB42" s="80"/>
      <c r="AC42" s="118"/>
      <c r="AD42" s="250"/>
      <c r="AE42" s="251"/>
      <c r="AF42" s="31"/>
      <c r="AG42" s="81"/>
      <c r="AH42" s="81"/>
      <c r="AI42" s="81"/>
      <c r="AJ42" s="81"/>
      <c r="AK42" s="81"/>
    </row>
    <row r="43" spans="1:37" s="19" customFormat="1" ht="21.75" customHeight="1">
      <c r="A43" s="262"/>
      <c r="B43" s="271"/>
      <c r="C43" s="258"/>
      <c r="D43" s="258"/>
      <c r="E43" s="258"/>
      <c r="F43" s="258"/>
      <c r="G43" s="258"/>
      <c r="H43" s="250"/>
      <c r="I43" s="256"/>
      <c r="J43" s="250"/>
      <c r="K43" s="250"/>
      <c r="L43" s="250"/>
      <c r="M43" s="256"/>
      <c r="N43" s="250"/>
      <c r="O43" s="250"/>
      <c r="P43" s="250"/>
      <c r="Q43" s="250"/>
      <c r="R43" s="250"/>
      <c r="S43" s="250"/>
      <c r="T43" s="250"/>
      <c r="U43" s="67" t="s">
        <v>421</v>
      </c>
      <c r="V43" s="126"/>
      <c r="W43" s="126"/>
      <c r="X43" s="117" t="s">
        <v>2</v>
      </c>
      <c r="Y43" s="118">
        <v>28</v>
      </c>
      <c r="Z43" s="62">
        <v>4500000</v>
      </c>
      <c r="AA43" s="79"/>
      <c r="AB43" s="80">
        <v>1</v>
      </c>
      <c r="AC43" s="118">
        <f>Y43*Z43*AB43</f>
        <v>126000000</v>
      </c>
      <c r="AD43" s="250"/>
      <c r="AE43" s="251"/>
      <c r="AF43" s="31"/>
      <c r="AG43" s="81"/>
      <c r="AH43" s="81"/>
      <c r="AI43" s="81"/>
      <c r="AJ43" s="81"/>
      <c r="AK43" s="81"/>
    </row>
    <row r="44" spans="1:37" s="19" customFormat="1" ht="21.75" customHeight="1">
      <c r="A44" s="262"/>
      <c r="B44" s="271"/>
      <c r="C44" s="258"/>
      <c r="D44" s="258"/>
      <c r="E44" s="258"/>
      <c r="F44" s="258"/>
      <c r="G44" s="258"/>
      <c r="H44" s="250"/>
      <c r="I44" s="256"/>
      <c r="J44" s="250"/>
      <c r="K44" s="250"/>
      <c r="L44" s="250"/>
      <c r="M44" s="256"/>
      <c r="N44" s="250"/>
      <c r="O44" s="250"/>
      <c r="P44" s="250"/>
      <c r="Q44" s="250"/>
      <c r="R44" s="250"/>
      <c r="S44" s="250"/>
      <c r="T44" s="250"/>
      <c r="U44" s="67" t="s">
        <v>423</v>
      </c>
      <c r="V44" s="126"/>
      <c r="W44" s="126">
        <f>0.3*3</f>
        <v>0.89999999999999991</v>
      </c>
      <c r="X44" s="117" t="s">
        <v>2</v>
      </c>
      <c r="Y44" s="118">
        <v>1</v>
      </c>
      <c r="Z44" s="62">
        <v>1800000</v>
      </c>
      <c r="AA44" s="79"/>
      <c r="AB44" s="80">
        <v>0.3</v>
      </c>
      <c r="AC44" s="118">
        <f t="shared" ref="AC44:AC45" si="4">Y44*Z44*AB44</f>
        <v>540000</v>
      </c>
      <c r="AD44" s="250"/>
      <c r="AE44" s="251"/>
      <c r="AF44" s="31"/>
      <c r="AG44" s="81"/>
      <c r="AH44" s="81"/>
      <c r="AI44" s="81"/>
      <c r="AJ44" s="81"/>
      <c r="AK44" s="81"/>
    </row>
    <row r="45" spans="1:37" s="19" customFormat="1" ht="21.75" customHeight="1">
      <c r="A45" s="262"/>
      <c r="B45" s="271"/>
      <c r="C45" s="258"/>
      <c r="D45" s="258"/>
      <c r="E45" s="258"/>
      <c r="F45" s="258"/>
      <c r="G45" s="258"/>
      <c r="H45" s="250"/>
      <c r="I45" s="256"/>
      <c r="J45" s="250"/>
      <c r="K45" s="250"/>
      <c r="L45" s="250"/>
      <c r="M45" s="256"/>
      <c r="N45" s="250"/>
      <c r="O45" s="250"/>
      <c r="P45" s="250"/>
      <c r="Q45" s="250"/>
      <c r="R45" s="250"/>
      <c r="S45" s="250"/>
      <c r="T45" s="250"/>
      <c r="U45" s="67" t="s">
        <v>424</v>
      </c>
      <c r="V45" s="126"/>
      <c r="W45" s="126"/>
      <c r="X45" s="117" t="s">
        <v>2</v>
      </c>
      <c r="Y45" s="118">
        <v>3</v>
      </c>
      <c r="Z45" s="62">
        <v>1800000</v>
      </c>
      <c r="AA45" s="79"/>
      <c r="AB45" s="80">
        <v>0</v>
      </c>
      <c r="AC45" s="118">
        <f t="shared" si="4"/>
        <v>0</v>
      </c>
      <c r="AD45" s="250"/>
      <c r="AE45" s="251"/>
      <c r="AF45" s="31"/>
      <c r="AG45" s="81"/>
      <c r="AH45" s="81"/>
      <c r="AI45" s="81"/>
      <c r="AJ45" s="81"/>
      <c r="AK45" s="81"/>
    </row>
    <row r="46" spans="1:37" s="19" customFormat="1" ht="57" customHeight="1">
      <c r="A46" s="262"/>
      <c r="B46" s="271"/>
      <c r="C46" s="258"/>
      <c r="D46" s="258"/>
      <c r="E46" s="258"/>
      <c r="F46" s="258"/>
      <c r="G46" s="258"/>
      <c r="H46" s="250"/>
      <c r="I46" s="256"/>
      <c r="J46" s="250"/>
      <c r="K46" s="250"/>
      <c r="L46" s="250"/>
      <c r="M46" s="256"/>
      <c r="N46" s="250"/>
      <c r="O46" s="250"/>
      <c r="P46" s="250"/>
      <c r="Q46" s="250"/>
      <c r="R46" s="250"/>
      <c r="S46" s="250"/>
      <c r="T46" s="250"/>
      <c r="U46" s="124" t="s">
        <v>496</v>
      </c>
      <c r="V46" s="110">
        <v>10</v>
      </c>
      <c r="W46" s="126">
        <f>(H41-Y41-Y49-8)/10</f>
        <v>68.8</v>
      </c>
      <c r="X46" s="117" t="s">
        <v>2</v>
      </c>
      <c r="Y46" s="114">
        <v>150</v>
      </c>
      <c r="Z46" s="62"/>
      <c r="AA46" s="79"/>
      <c r="AB46" s="80"/>
      <c r="AC46" s="118"/>
      <c r="AD46" s="250"/>
      <c r="AE46" s="251"/>
      <c r="AF46" s="31"/>
      <c r="AG46" s="81"/>
      <c r="AH46" s="81"/>
      <c r="AI46" s="81"/>
      <c r="AJ46" s="81"/>
      <c r="AK46" s="81"/>
    </row>
    <row r="47" spans="1:37" s="19" customFormat="1" ht="36" customHeight="1">
      <c r="A47" s="262"/>
      <c r="B47" s="271"/>
      <c r="C47" s="258"/>
      <c r="D47" s="258"/>
      <c r="E47" s="258"/>
      <c r="F47" s="258"/>
      <c r="G47" s="258"/>
      <c r="H47" s="250"/>
      <c r="I47" s="256"/>
      <c r="J47" s="250"/>
      <c r="K47" s="250"/>
      <c r="L47" s="250"/>
      <c r="M47" s="256"/>
      <c r="N47" s="250"/>
      <c r="O47" s="250"/>
      <c r="P47" s="250"/>
      <c r="Q47" s="250"/>
      <c r="R47" s="250"/>
      <c r="S47" s="250"/>
      <c r="T47" s="250"/>
      <c r="U47" s="67" t="s">
        <v>497</v>
      </c>
      <c r="V47" s="126"/>
      <c r="W47" s="126">
        <f>0.3*W46</f>
        <v>20.639999999999997</v>
      </c>
      <c r="X47" s="117" t="s">
        <v>2</v>
      </c>
      <c r="Y47" s="83">
        <v>21</v>
      </c>
      <c r="Z47" s="62">
        <v>240000</v>
      </c>
      <c r="AA47" s="79"/>
      <c r="AB47" s="80">
        <v>0.3</v>
      </c>
      <c r="AC47" s="118">
        <f t="shared" ref="AC47" si="5">Y47*Z47*AB47</f>
        <v>1512000</v>
      </c>
      <c r="AD47" s="250"/>
      <c r="AE47" s="251"/>
      <c r="AF47" s="31"/>
      <c r="AG47" s="81"/>
      <c r="AH47" s="81"/>
      <c r="AI47" s="81"/>
      <c r="AJ47" s="81"/>
      <c r="AK47" s="81"/>
    </row>
    <row r="48" spans="1:37" s="19" customFormat="1" ht="27.75" customHeight="1">
      <c r="A48" s="262"/>
      <c r="B48" s="271"/>
      <c r="C48" s="258"/>
      <c r="D48" s="258"/>
      <c r="E48" s="258"/>
      <c r="F48" s="258"/>
      <c r="G48" s="258"/>
      <c r="H48" s="250"/>
      <c r="I48" s="256"/>
      <c r="J48" s="250"/>
      <c r="K48" s="250"/>
      <c r="L48" s="250"/>
      <c r="M48" s="256"/>
      <c r="N48" s="250"/>
      <c r="O48" s="250"/>
      <c r="P48" s="250"/>
      <c r="Q48" s="250"/>
      <c r="R48" s="250"/>
      <c r="S48" s="250"/>
      <c r="T48" s="250"/>
      <c r="U48" s="67" t="s">
        <v>486</v>
      </c>
      <c r="V48" s="126"/>
      <c r="W48" s="126"/>
      <c r="X48" s="117" t="s">
        <v>2</v>
      </c>
      <c r="Y48" s="83">
        <v>129</v>
      </c>
      <c r="Z48" s="62">
        <v>240000</v>
      </c>
      <c r="AA48" s="79"/>
      <c r="AB48" s="80">
        <v>0</v>
      </c>
      <c r="AC48" s="118">
        <f t="shared" ref="AC48" si="6">Y48*Z48*AB48/100</f>
        <v>0</v>
      </c>
      <c r="AD48" s="250"/>
      <c r="AE48" s="251"/>
      <c r="AF48" s="31"/>
      <c r="AG48" s="81"/>
      <c r="AH48" s="81"/>
      <c r="AI48" s="81"/>
      <c r="AJ48" s="81"/>
      <c r="AK48" s="81"/>
    </row>
    <row r="49" spans="1:37" s="19" customFormat="1" ht="81" customHeight="1">
      <c r="A49" s="262"/>
      <c r="B49" s="271"/>
      <c r="C49" s="258"/>
      <c r="D49" s="258"/>
      <c r="E49" s="258"/>
      <c r="F49" s="258"/>
      <c r="G49" s="258"/>
      <c r="H49" s="250"/>
      <c r="I49" s="256"/>
      <c r="J49" s="250"/>
      <c r="K49" s="250"/>
      <c r="L49" s="250"/>
      <c r="M49" s="256"/>
      <c r="N49" s="250"/>
      <c r="O49" s="250"/>
      <c r="P49" s="250"/>
      <c r="Q49" s="250"/>
      <c r="R49" s="250"/>
      <c r="S49" s="250"/>
      <c r="T49" s="250"/>
      <c r="U49" s="124" t="s">
        <v>561</v>
      </c>
      <c r="V49" s="126"/>
      <c r="W49" s="126"/>
      <c r="X49" s="117" t="s">
        <v>0</v>
      </c>
      <c r="Y49" s="114">
        <v>24</v>
      </c>
      <c r="Z49" s="62"/>
      <c r="AA49" s="79"/>
      <c r="AB49" s="80"/>
      <c r="AC49" s="118"/>
      <c r="AD49" s="250"/>
      <c r="AE49" s="251"/>
      <c r="AF49" s="31"/>
      <c r="AG49" s="81"/>
      <c r="AH49" s="81"/>
      <c r="AI49" s="81"/>
      <c r="AJ49" s="81"/>
      <c r="AK49" s="81"/>
    </row>
    <row r="50" spans="1:37" s="19" customFormat="1" ht="41.25" customHeight="1">
      <c r="A50" s="262"/>
      <c r="B50" s="271"/>
      <c r="C50" s="258"/>
      <c r="D50" s="258"/>
      <c r="E50" s="258"/>
      <c r="F50" s="258"/>
      <c r="G50" s="258"/>
      <c r="H50" s="250"/>
      <c r="I50" s="256"/>
      <c r="J50" s="250"/>
      <c r="K50" s="250"/>
      <c r="L50" s="250"/>
      <c r="M50" s="256"/>
      <c r="N50" s="250"/>
      <c r="O50" s="250"/>
      <c r="P50" s="250"/>
      <c r="Q50" s="250"/>
      <c r="R50" s="250"/>
      <c r="S50" s="250"/>
      <c r="T50" s="250"/>
      <c r="U50" s="124" t="s">
        <v>562</v>
      </c>
      <c r="V50" s="126"/>
      <c r="W50" s="126"/>
      <c r="X50" s="117" t="s">
        <v>0</v>
      </c>
      <c r="Y50" s="114">
        <v>36</v>
      </c>
      <c r="Z50" s="62"/>
      <c r="AA50" s="79"/>
      <c r="AB50" s="80"/>
      <c r="AC50" s="118"/>
      <c r="AD50" s="250"/>
      <c r="AE50" s="251"/>
      <c r="AF50" s="31"/>
      <c r="AG50" s="81"/>
      <c r="AH50" s="81"/>
      <c r="AI50" s="81"/>
      <c r="AJ50" s="81"/>
      <c r="AK50" s="81"/>
    </row>
    <row r="51" spans="1:37" s="19" customFormat="1" ht="55.5" customHeight="1">
      <c r="A51" s="262"/>
      <c r="B51" s="271"/>
      <c r="C51" s="258"/>
      <c r="D51" s="258"/>
      <c r="E51" s="258"/>
      <c r="F51" s="258"/>
      <c r="G51" s="258"/>
      <c r="H51" s="250"/>
      <c r="I51" s="256"/>
      <c r="J51" s="250"/>
      <c r="K51" s="250"/>
      <c r="L51" s="250"/>
      <c r="M51" s="256"/>
      <c r="N51" s="250"/>
      <c r="O51" s="250"/>
      <c r="P51" s="250"/>
      <c r="Q51" s="250"/>
      <c r="R51" s="250"/>
      <c r="S51" s="250"/>
      <c r="T51" s="250"/>
      <c r="U51" s="124" t="s">
        <v>483</v>
      </c>
      <c r="V51" s="126"/>
      <c r="W51" s="126"/>
      <c r="X51" s="117" t="s">
        <v>0</v>
      </c>
      <c r="Y51" s="114">
        <v>93</v>
      </c>
      <c r="Z51" s="62"/>
      <c r="AA51" s="79"/>
      <c r="AB51" s="80"/>
      <c r="AC51" s="118"/>
      <c r="AD51" s="250"/>
      <c r="AE51" s="251"/>
      <c r="AF51" s="31"/>
      <c r="AG51" s="81"/>
      <c r="AH51" s="81"/>
      <c r="AI51" s="81"/>
      <c r="AJ51" s="81"/>
      <c r="AK51" s="81"/>
    </row>
    <row r="52" spans="1:37" s="19" customFormat="1" ht="27.75" customHeight="1">
      <c r="A52" s="262"/>
      <c r="B52" s="271"/>
      <c r="C52" s="258"/>
      <c r="D52" s="258"/>
      <c r="E52" s="258"/>
      <c r="F52" s="258"/>
      <c r="G52" s="258"/>
      <c r="H52" s="250"/>
      <c r="I52" s="256"/>
      <c r="J52" s="250"/>
      <c r="K52" s="250"/>
      <c r="L52" s="250"/>
      <c r="M52" s="256"/>
      <c r="N52" s="250"/>
      <c r="O52" s="250"/>
      <c r="P52" s="250"/>
      <c r="Q52" s="250"/>
      <c r="R52" s="250"/>
      <c r="S52" s="250"/>
      <c r="T52" s="250"/>
      <c r="U52" s="124" t="s">
        <v>563</v>
      </c>
      <c r="V52" s="126"/>
      <c r="W52" s="126"/>
      <c r="X52" s="117" t="s">
        <v>0</v>
      </c>
      <c r="Y52" s="114">
        <v>277</v>
      </c>
      <c r="Z52" s="62"/>
      <c r="AA52" s="79"/>
      <c r="AB52" s="80"/>
      <c r="AC52" s="118"/>
      <c r="AD52" s="250"/>
      <c r="AE52" s="251"/>
      <c r="AF52" s="31"/>
      <c r="AG52" s="81"/>
      <c r="AH52" s="81"/>
      <c r="AI52" s="81"/>
      <c r="AJ52" s="81"/>
      <c r="AK52" s="81"/>
    </row>
    <row r="53" spans="1:37" s="19" customFormat="1" ht="51" customHeight="1">
      <c r="A53" s="262"/>
      <c r="B53" s="271"/>
      <c r="C53" s="258"/>
      <c r="D53" s="258"/>
      <c r="E53" s="258"/>
      <c r="F53" s="258"/>
      <c r="G53" s="258"/>
      <c r="H53" s="250"/>
      <c r="I53" s="256"/>
      <c r="J53" s="250"/>
      <c r="K53" s="250"/>
      <c r="L53" s="250"/>
      <c r="M53" s="256"/>
      <c r="N53" s="250"/>
      <c r="O53" s="250"/>
      <c r="P53" s="250"/>
      <c r="Q53" s="250"/>
      <c r="R53" s="250"/>
      <c r="S53" s="250"/>
      <c r="T53" s="250"/>
      <c r="U53" s="124" t="s">
        <v>564</v>
      </c>
      <c r="V53" s="126"/>
      <c r="W53" s="126"/>
      <c r="X53" s="117" t="s">
        <v>400</v>
      </c>
      <c r="Y53" s="114">
        <v>7</v>
      </c>
      <c r="Z53" s="62"/>
      <c r="AA53" s="79"/>
      <c r="AB53" s="80"/>
      <c r="AC53" s="118"/>
      <c r="AD53" s="250"/>
      <c r="AE53" s="251"/>
      <c r="AF53" s="31"/>
      <c r="AG53" s="81"/>
      <c r="AH53" s="81"/>
      <c r="AI53" s="81"/>
      <c r="AJ53" s="81"/>
      <c r="AK53" s="81"/>
    </row>
    <row r="54" spans="1:37" s="19" customFormat="1" ht="60.75" customHeight="1">
      <c r="A54" s="262"/>
      <c r="B54" s="271"/>
      <c r="C54" s="258"/>
      <c r="D54" s="258"/>
      <c r="E54" s="258"/>
      <c r="F54" s="258"/>
      <c r="G54" s="258"/>
      <c r="H54" s="250"/>
      <c r="I54" s="256"/>
      <c r="J54" s="250"/>
      <c r="K54" s="250"/>
      <c r="L54" s="250"/>
      <c r="M54" s="256"/>
      <c r="N54" s="250"/>
      <c r="O54" s="250"/>
      <c r="P54" s="250"/>
      <c r="Q54" s="250"/>
      <c r="R54" s="250"/>
      <c r="S54" s="250"/>
      <c r="T54" s="250"/>
      <c r="U54" s="124" t="s">
        <v>565</v>
      </c>
      <c r="V54" s="126"/>
      <c r="W54" s="126"/>
      <c r="X54" s="117" t="s">
        <v>630</v>
      </c>
      <c r="Y54" s="114">
        <v>12</v>
      </c>
      <c r="Z54" s="62"/>
      <c r="AA54" s="79"/>
      <c r="AB54" s="80"/>
      <c r="AC54" s="118"/>
      <c r="AD54" s="250"/>
      <c r="AE54" s="251"/>
      <c r="AF54" s="31"/>
      <c r="AG54" s="81"/>
      <c r="AH54" s="81"/>
      <c r="AI54" s="81"/>
      <c r="AJ54" s="81"/>
      <c r="AK54" s="81"/>
    </row>
    <row r="55" spans="1:37" s="19" customFormat="1" ht="27.75" customHeight="1">
      <c r="A55" s="262"/>
      <c r="B55" s="271"/>
      <c r="C55" s="258"/>
      <c r="D55" s="258"/>
      <c r="E55" s="258"/>
      <c r="F55" s="258"/>
      <c r="G55" s="258"/>
      <c r="H55" s="250"/>
      <c r="I55" s="256"/>
      <c r="J55" s="250"/>
      <c r="K55" s="250"/>
      <c r="L55" s="250"/>
      <c r="M55" s="256"/>
      <c r="N55" s="250"/>
      <c r="O55" s="250"/>
      <c r="P55" s="250"/>
      <c r="Q55" s="250"/>
      <c r="R55" s="250"/>
      <c r="S55" s="250"/>
      <c r="T55" s="250"/>
      <c r="U55" s="124" t="s">
        <v>436</v>
      </c>
      <c r="V55" s="126"/>
      <c r="W55" s="126"/>
      <c r="X55" s="117" t="s">
        <v>3</v>
      </c>
      <c r="Y55" s="114">
        <v>2</v>
      </c>
      <c r="Z55" s="62"/>
      <c r="AA55" s="79"/>
      <c r="AB55" s="80"/>
      <c r="AC55" s="118"/>
      <c r="AD55" s="250"/>
      <c r="AE55" s="251"/>
      <c r="AF55" s="31"/>
      <c r="AG55" s="81"/>
      <c r="AH55" s="81"/>
      <c r="AI55" s="81"/>
      <c r="AJ55" s="81"/>
      <c r="AK55" s="81"/>
    </row>
    <row r="56" spans="1:37" s="19" customFormat="1" ht="39.75" customHeight="1">
      <c r="A56" s="262"/>
      <c r="B56" s="271"/>
      <c r="C56" s="258"/>
      <c r="D56" s="258"/>
      <c r="E56" s="258"/>
      <c r="F56" s="258"/>
      <c r="G56" s="258"/>
      <c r="H56" s="250"/>
      <c r="I56" s="256"/>
      <c r="J56" s="250"/>
      <c r="K56" s="250"/>
      <c r="L56" s="250"/>
      <c r="M56" s="256"/>
      <c r="N56" s="250"/>
      <c r="O56" s="250"/>
      <c r="P56" s="250"/>
      <c r="Q56" s="250"/>
      <c r="R56" s="250"/>
      <c r="S56" s="250"/>
      <c r="T56" s="250"/>
      <c r="U56" s="124" t="s">
        <v>566</v>
      </c>
      <c r="V56" s="126"/>
      <c r="W56" s="126"/>
      <c r="X56" s="117" t="s">
        <v>630</v>
      </c>
      <c r="Y56" s="114">
        <v>2.5</v>
      </c>
      <c r="Z56" s="62"/>
      <c r="AA56" s="79"/>
      <c r="AB56" s="80"/>
      <c r="AC56" s="118"/>
      <c r="AD56" s="250"/>
      <c r="AE56" s="251"/>
      <c r="AF56" s="31"/>
      <c r="AG56" s="81"/>
      <c r="AH56" s="81"/>
      <c r="AI56" s="81"/>
      <c r="AJ56" s="81"/>
      <c r="AK56" s="81"/>
    </row>
    <row r="57" spans="1:37" s="19" customFormat="1" ht="50.25" customHeight="1">
      <c r="A57" s="262"/>
      <c r="B57" s="271"/>
      <c r="C57" s="258"/>
      <c r="D57" s="258"/>
      <c r="E57" s="258"/>
      <c r="F57" s="258"/>
      <c r="G57" s="258"/>
      <c r="H57" s="250"/>
      <c r="I57" s="256"/>
      <c r="J57" s="250"/>
      <c r="K57" s="250"/>
      <c r="L57" s="250"/>
      <c r="M57" s="256"/>
      <c r="N57" s="250"/>
      <c r="O57" s="250"/>
      <c r="P57" s="250"/>
      <c r="Q57" s="250"/>
      <c r="R57" s="250"/>
      <c r="S57" s="250"/>
      <c r="T57" s="250"/>
      <c r="U57" s="124" t="s">
        <v>567</v>
      </c>
      <c r="V57" s="126"/>
      <c r="W57" s="126"/>
      <c r="X57" s="117" t="s">
        <v>0</v>
      </c>
      <c r="Y57" s="114">
        <v>12</v>
      </c>
      <c r="Z57" s="123"/>
      <c r="AA57" s="79"/>
      <c r="AB57" s="80"/>
      <c r="AC57" s="118">
        <f t="shared" ref="AC57:AC58" si="7">Y57*Z57*AB57</f>
        <v>0</v>
      </c>
      <c r="AD57" s="250"/>
      <c r="AE57" s="251"/>
      <c r="AF57" s="31"/>
      <c r="AG57" s="81"/>
      <c r="AH57" s="81"/>
      <c r="AI57" s="81"/>
      <c r="AJ57" s="81"/>
      <c r="AK57" s="81"/>
    </row>
    <row r="58" spans="1:37" s="19" customFormat="1" ht="27" customHeight="1">
      <c r="A58" s="262"/>
      <c r="B58" s="271"/>
      <c r="C58" s="119"/>
      <c r="D58" s="119">
        <v>64</v>
      </c>
      <c r="E58" s="119">
        <v>415</v>
      </c>
      <c r="F58" s="119">
        <v>393.6</v>
      </c>
      <c r="G58" s="119" t="s">
        <v>28</v>
      </c>
      <c r="H58" s="123">
        <v>396</v>
      </c>
      <c r="I58" s="127">
        <f>F58-H58</f>
        <v>-2.3999999999999773</v>
      </c>
      <c r="J58" s="250"/>
      <c r="K58" s="250"/>
      <c r="L58" s="250"/>
      <c r="M58" s="256"/>
      <c r="N58" s="250"/>
      <c r="O58" s="250"/>
      <c r="P58" s="250"/>
      <c r="Q58" s="250"/>
      <c r="R58" s="250"/>
      <c r="S58" s="250"/>
      <c r="T58" s="250"/>
      <c r="U58" s="82" t="s">
        <v>446</v>
      </c>
      <c r="V58" s="126"/>
      <c r="W58" s="126"/>
      <c r="X58" s="117" t="s">
        <v>0</v>
      </c>
      <c r="Y58" s="83">
        <v>393</v>
      </c>
      <c r="Z58" s="62">
        <v>180000</v>
      </c>
      <c r="AA58" s="84"/>
      <c r="AB58" s="68">
        <v>1</v>
      </c>
      <c r="AC58" s="118">
        <f t="shared" si="7"/>
        <v>70740000</v>
      </c>
      <c r="AD58" s="118">
        <f>SUM(AC58:AC58)</f>
        <v>70740000</v>
      </c>
      <c r="AE58" s="251"/>
      <c r="AF58" s="31"/>
      <c r="AG58" s="81"/>
      <c r="AH58" s="81"/>
      <c r="AI58" s="81"/>
      <c r="AJ58" s="81"/>
      <c r="AK58" s="81"/>
    </row>
    <row r="59" spans="1:37" s="19" customFormat="1" ht="21.75" customHeight="1">
      <c r="A59" s="262">
        <v>9</v>
      </c>
      <c r="B59" s="263" t="s">
        <v>502</v>
      </c>
      <c r="C59" s="119"/>
      <c r="D59" s="258">
        <v>64</v>
      </c>
      <c r="E59" s="258">
        <v>428</v>
      </c>
      <c r="F59" s="258">
        <v>211.8</v>
      </c>
      <c r="G59" s="258" t="s">
        <v>28</v>
      </c>
      <c r="H59" s="250">
        <v>216</v>
      </c>
      <c r="I59" s="256">
        <f>F59-H59</f>
        <v>-4.1999999999999886</v>
      </c>
      <c r="J59" s="264">
        <v>216</v>
      </c>
      <c r="K59" s="264">
        <v>720</v>
      </c>
      <c r="L59" s="119"/>
      <c r="M59" s="277">
        <f>J59/K59*100</f>
        <v>30</v>
      </c>
      <c r="N59" s="264">
        <v>6</v>
      </c>
      <c r="O59" s="264">
        <v>4</v>
      </c>
      <c r="P59" s="264">
        <v>80000</v>
      </c>
      <c r="Q59" s="264">
        <f>P59*J59</f>
        <v>17280000</v>
      </c>
      <c r="R59" s="264">
        <f>Q59*3</f>
        <v>51840000</v>
      </c>
      <c r="S59" s="264">
        <f>N59*O59*17000*30</f>
        <v>12240000</v>
      </c>
      <c r="T59" s="264">
        <f>SUM(Q59:S63)</f>
        <v>81360000</v>
      </c>
      <c r="U59" s="82" t="s">
        <v>446</v>
      </c>
      <c r="V59" s="126"/>
      <c r="W59" s="126"/>
      <c r="X59" s="117" t="s">
        <v>0</v>
      </c>
      <c r="Y59" s="83">
        <v>200</v>
      </c>
      <c r="Z59" s="62">
        <v>180000</v>
      </c>
      <c r="AA59" s="84"/>
      <c r="AB59" s="68">
        <v>1</v>
      </c>
      <c r="AC59" s="118">
        <f>Y59*Z59*AB59</f>
        <v>36000000</v>
      </c>
      <c r="AD59" s="250">
        <f>SUM(AC59:AC63)</f>
        <v>37000000</v>
      </c>
      <c r="AE59" s="251">
        <f>T59+AD59</f>
        <v>118360000</v>
      </c>
      <c r="AF59" s="31"/>
      <c r="AG59" s="81"/>
      <c r="AH59" s="81"/>
      <c r="AI59" s="81"/>
      <c r="AJ59" s="81"/>
      <c r="AK59" s="81"/>
    </row>
    <row r="60" spans="1:37" s="19" customFormat="1" ht="37.5" customHeight="1">
      <c r="A60" s="262"/>
      <c r="B60" s="263"/>
      <c r="C60" s="119"/>
      <c r="D60" s="258"/>
      <c r="E60" s="258"/>
      <c r="F60" s="258"/>
      <c r="G60" s="258"/>
      <c r="H60" s="250"/>
      <c r="I60" s="256"/>
      <c r="J60" s="264"/>
      <c r="K60" s="264"/>
      <c r="L60" s="119"/>
      <c r="M60" s="277"/>
      <c r="N60" s="264"/>
      <c r="O60" s="264"/>
      <c r="P60" s="264"/>
      <c r="Q60" s="264"/>
      <c r="R60" s="264"/>
      <c r="S60" s="264"/>
      <c r="T60" s="264"/>
      <c r="U60" s="124" t="s">
        <v>498</v>
      </c>
      <c r="V60" s="126">
        <v>25</v>
      </c>
      <c r="W60" s="126">
        <f>(H59-Y59)/25</f>
        <v>0.64</v>
      </c>
      <c r="X60" s="117" t="s">
        <v>2</v>
      </c>
      <c r="Y60" s="114">
        <v>2</v>
      </c>
      <c r="Z60" s="123"/>
      <c r="AA60" s="79"/>
      <c r="AB60" s="80"/>
      <c r="AC60" s="118"/>
      <c r="AD60" s="250"/>
      <c r="AE60" s="251"/>
      <c r="AF60" s="31"/>
      <c r="AG60" s="81"/>
      <c r="AH60" s="81"/>
      <c r="AI60" s="81"/>
      <c r="AJ60" s="81"/>
      <c r="AK60" s="81"/>
    </row>
    <row r="61" spans="1:37" s="19" customFormat="1" ht="21.75" customHeight="1">
      <c r="A61" s="262"/>
      <c r="B61" s="263"/>
      <c r="C61" s="119"/>
      <c r="D61" s="258"/>
      <c r="E61" s="258"/>
      <c r="F61" s="258"/>
      <c r="G61" s="258"/>
      <c r="H61" s="250"/>
      <c r="I61" s="256"/>
      <c r="J61" s="264"/>
      <c r="K61" s="264"/>
      <c r="L61" s="119"/>
      <c r="M61" s="277"/>
      <c r="N61" s="264"/>
      <c r="O61" s="264"/>
      <c r="P61" s="264"/>
      <c r="Q61" s="264"/>
      <c r="R61" s="264"/>
      <c r="S61" s="264"/>
      <c r="T61" s="264"/>
      <c r="U61" s="67" t="s">
        <v>421</v>
      </c>
      <c r="V61" s="126"/>
      <c r="W61" s="126"/>
      <c r="X61" s="117" t="s">
        <v>2</v>
      </c>
      <c r="Y61" s="118">
        <v>1</v>
      </c>
      <c r="Z61" s="62">
        <v>1000000</v>
      </c>
      <c r="AA61" s="86"/>
      <c r="AB61" s="68">
        <v>1</v>
      </c>
      <c r="AC61" s="118">
        <f t="shared" ref="AC61:AC62" si="8">Y61*Z61*AB61</f>
        <v>1000000</v>
      </c>
      <c r="AD61" s="250"/>
      <c r="AE61" s="251"/>
      <c r="AF61" s="31"/>
      <c r="AG61" s="81"/>
      <c r="AH61" s="81"/>
      <c r="AI61" s="81"/>
      <c r="AJ61" s="81"/>
      <c r="AK61" s="81"/>
    </row>
    <row r="62" spans="1:37" s="19" customFormat="1" ht="21.75" customHeight="1">
      <c r="A62" s="262"/>
      <c r="B62" s="263"/>
      <c r="C62" s="119"/>
      <c r="D62" s="258"/>
      <c r="E62" s="258"/>
      <c r="F62" s="258"/>
      <c r="G62" s="258"/>
      <c r="H62" s="250"/>
      <c r="I62" s="256"/>
      <c r="J62" s="264"/>
      <c r="K62" s="264"/>
      <c r="L62" s="119"/>
      <c r="M62" s="277"/>
      <c r="N62" s="264"/>
      <c r="O62" s="264"/>
      <c r="P62" s="264"/>
      <c r="Q62" s="264"/>
      <c r="R62" s="264"/>
      <c r="S62" s="264"/>
      <c r="T62" s="264"/>
      <c r="U62" s="67" t="s">
        <v>424</v>
      </c>
      <c r="V62" s="126"/>
      <c r="W62" s="126">
        <f>0.3*W60</f>
        <v>0.192</v>
      </c>
      <c r="X62" s="117" t="s">
        <v>2</v>
      </c>
      <c r="Y62" s="118">
        <v>1</v>
      </c>
      <c r="Z62" s="62">
        <v>1000000</v>
      </c>
      <c r="AA62" s="79"/>
      <c r="AB62" s="68">
        <v>0</v>
      </c>
      <c r="AC62" s="118">
        <f t="shared" si="8"/>
        <v>0</v>
      </c>
      <c r="AD62" s="250"/>
      <c r="AE62" s="251"/>
      <c r="AF62" s="31"/>
      <c r="AG62" s="81"/>
      <c r="AH62" s="81"/>
      <c r="AI62" s="81"/>
      <c r="AJ62" s="81"/>
      <c r="AK62" s="81"/>
    </row>
    <row r="63" spans="1:37" s="19" customFormat="1" ht="43.5" customHeight="1">
      <c r="A63" s="262"/>
      <c r="B63" s="263"/>
      <c r="C63" s="119"/>
      <c r="D63" s="258"/>
      <c r="E63" s="258"/>
      <c r="F63" s="258"/>
      <c r="G63" s="258"/>
      <c r="H63" s="250"/>
      <c r="I63" s="256"/>
      <c r="J63" s="264"/>
      <c r="K63" s="264"/>
      <c r="L63" s="119"/>
      <c r="M63" s="277"/>
      <c r="N63" s="264"/>
      <c r="O63" s="264"/>
      <c r="P63" s="264"/>
      <c r="Q63" s="264"/>
      <c r="R63" s="264"/>
      <c r="S63" s="264"/>
      <c r="T63" s="264"/>
      <c r="U63" s="124" t="s">
        <v>499</v>
      </c>
      <c r="V63" s="126"/>
      <c r="W63" s="126"/>
      <c r="X63" s="117" t="s">
        <v>630</v>
      </c>
      <c r="Y63" s="114">
        <v>0.2</v>
      </c>
      <c r="Z63" s="62"/>
      <c r="AA63" s="86"/>
      <c r="AB63" s="68">
        <v>0</v>
      </c>
      <c r="AC63" s="118"/>
      <c r="AD63" s="250"/>
      <c r="AE63" s="251"/>
      <c r="AF63" s="31"/>
      <c r="AG63" s="81"/>
      <c r="AH63" s="81"/>
      <c r="AI63" s="81"/>
      <c r="AJ63" s="81"/>
      <c r="AK63" s="81"/>
    </row>
    <row r="64" spans="1:37" s="27" customFormat="1" ht="39.75" customHeight="1">
      <c r="A64" s="274">
        <v>10</v>
      </c>
      <c r="B64" s="271" t="s">
        <v>409</v>
      </c>
      <c r="C64" s="271" t="s">
        <v>409</v>
      </c>
      <c r="D64" s="258">
        <v>64</v>
      </c>
      <c r="E64" s="258">
        <v>472</v>
      </c>
      <c r="F64" s="258">
        <v>941.9</v>
      </c>
      <c r="G64" s="258" t="s">
        <v>28</v>
      </c>
      <c r="H64" s="250">
        <v>936</v>
      </c>
      <c r="I64" s="256">
        <f>F64-H64</f>
        <v>5.8999999999999773</v>
      </c>
      <c r="J64" s="251">
        <v>936</v>
      </c>
      <c r="K64" s="251">
        <v>1296</v>
      </c>
      <c r="L64" s="250">
        <v>936</v>
      </c>
      <c r="M64" s="272">
        <f>J64/K64*100</f>
        <v>72.222222222222214</v>
      </c>
      <c r="N64" s="250">
        <v>12</v>
      </c>
      <c r="O64" s="250">
        <v>8</v>
      </c>
      <c r="P64" s="250">
        <v>80000</v>
      </c>
      <c r="Q64" s="250">
        <f>P64*J64</f>
        <v>74880000</v>
      </c>
      <c r="R64" s="250">
        <f>Q64*3</f>
        <v>224640000</v>
      </c>
      <c r="S64" s="250">
        <f>N64*O64*17000*30</f>
        <v>48960000</v>
      </c>
      <c r="T64" s="250">
        <f>SUM(Q64:S68)</f>
        <v>348480000</v>
      </c>
      <c r="U64" s="82" t="s">
        <v>457</v>
      </c>
      <c r="V64" s="50">
        <v>25</v>
      </c>
      <c r="W64" s="50">
        <f>J64/V64</f>
        <v>37.44</v>
      </c>
      <c r="X64" s="117" t="s">
        <v>2</v>
      </c>
      <c r="Y64" s="118">
        <v>35</v>
      </c>
      <c r="Z64" s="62"/>
      <c r="AA64" s="84"/>
      <c r="AB64" s="68"/>
      <c r="AC64" s="118">
        <f>Y64*Z64*AB64</f>
        <v>0</v>
      </c>
      <c r="AD64" s="250">
        <f>SUM(AC64:AC68)</f>
        <v>176250000</v>
      </c>
      <c r="AE64" s="251">
        <f>T64+AD64</f>
        <v>524730000</v>
      </c>
      <c r="AF64" s="87">
        <f>Y64*25</f>
        <v>875</v>
      </c>
      <c r="AG64" s="88" t="s">
        <v>395</v>
      </c>
      <c r="AH64" s="88"/>
      <c r="AI64" s="252" t="s">
        <v>657</v>
      </c>
      <c r="AJ64" s="259" t="s">
        <v>681</v>
      </c>
      <c r="AK64" s="89"/>
    </row>
    <row r="65" spans="1:37" s="27" customFormat="1" ht="23.25" customHeight="1">
      <c r="A65" s="275"/>
      <c r="B65" s="271"/>
      <c r="C65" s="271"/>
      <c r="D65" s="258"/>
      <c r="E65" s="258"/>
      <c r="F65" s="258"/>
      <c r="G65" s="258"/>
      <c r="H65" s="250"/>
      <c r="I65" s="256"/>
      <c r="J65" s="251"/>
      <c r="K65" s="251"/>
      <c r="L65" s="250"/>
      <c r="M65" s="272"/>
      <c r="N65" s="250"/>
      <c r="O65" s="250"/>
      <c r="P65" s="250"/>
      <c r="Q65" s="250"/>
      <c r="R65" s="250"/>
      <c r="S65" s="250"/>
      <c r="T65" s="250"/>
      <c r="U65" s="67" t="s">
        <v>421</v>
      </c>
      <c r="V65" s="50"/>
      <c r="W65" s="50"/>
      <c r="X65" s="117" t="s">
        <v>2</v>
      </c>
      <c r="Y65" s="118">
        <v>35</v>
      </c>
      <c r="Z65" s="62">
        <v>4500000</v>
      </c>
      <c r="AA65" s="84"/>
      <c r="AB65" s="68">
        <v>1</v>
      </c>
      <c r="AC65" s="118">
        <f>Y65*Z65*AB65</f>
        <v>157500000</v>
      </c>
      <c r="AD65" s="250"/>
      <c r="AE65" s="251"/>
      <c r="AF65" s="87"/>
      <c r="AG65" s="88"/>
      <c r="AH65" s="88"/>
      <c r="AI65" s="252"/>
      <c r="AJ65" s="260"/>
      <c r="AK65" s="89"/>
    </row>
    <row r="66" spans="1:37" s="27" customFormat="1" ht="42.75" customHeight="1">
      <c r="A66" s="275"/>
      <c r="B66" s="271"/>
      <c r="C66" s="271"/>
      <c r="D66" s="258"/>
      <c r="E66" s="258"/>
      <c r="F66" s="258"/>
      <c r="G66" s="258"/>
      <c r="H66" s="250"/>
      <c r="I66" s="256"/>
      <c r="J66" s="251"/>
      <c r="K66" s="251"/>
      <c r="L66" s="250"/>
      <c r="M66" s="272"/>
      <c r="N66" s="250"/>
      <c r="O66" s="250"/>
      <c r="P66" s="250"/>
      <c r="Q66" s="250"/>
      <c r="R66" s="250"/>
      <c r="S66" s="250"/>
      <c r="T66" s="250"/>
      <c r="U66" s="82" t="s">
        <v>460</v>
      </c>
      <c r="V66" s="50">
        <v>20</v>
      </c>
      <c r="W66" s="50">
        <f>J64/V66</f>
        <v>46.8</v>
      </c>
      <c r="X66" s="117" t="s">
        <v>2</v>
      </c>
      <c r="Y66" s="118">
        <v>15</v>
      </c>
      <c r="Z66" s="62"/>
      <c r="AA66" s="84"/>
      <c r="AB66" s="68"/>
      <c r="AC66" s="118">
        <f>Y66*Z66*AB66</f>
        <v>0</v>
      </c>
      <c r="AD66" s="250"/>
      <c r="AE66" s="251"/>
      <c r="AF66" s="87"/>
      <c r="AG66" s="88"/>
      <c r="AH66" s="88"/>
      <c r="AI66" s="252"/>
      <c r="AJ66" s="260"/>
      <c r="AK66" s="89"/>
    </row>
    <row r="67" spans="1:37" s="27" customFormat="1" ht="27.75" customHeight="1">
      <c r="A67" s="275"/>
      <c r="B67" s="271"/>
      <c r="C67" s="271"/>
      <c r="D67" s="258"/>
      <c r="E67" s="258"/>
      <c r="F67" s="258"/>
      <c r="G67" s="258"/>
      <c r="H67" s="250"/>
      <c r="I67" s="256"/>
      <c r="J67" s="251"/>
      <c r="K67" s="251"/>
      <c r="L67" s="250"/>
      <c r="M67" s="272"/>
      <c r="N67" s="250"/>
      <c r="O67" s="250"/>
      <c r="P67" s="250"/>
      <c r="Q67" s="250"/>
      <c r="R67" s="250"/>
      <c r="S67" s="250"/>
      <c r="T67" s="250"/>
      <c r="U67" s="67" t="s">
        <v>421</v>
      </c>
      <c r="V67" s="50"/>
      <c r="W67" s="50"/>
      <c r="X67" s="117" t="s">
        <v>2</v>
      </c>
      <c r="Y67" s="118">
        <v>15</v>
      </c>
      <c r="Z67" s="62">
        <v>2500000</v>
      </c>
      <c r="AA67" s="84"/>
      <c r="AB67" s="68">
        <v>0.5</v>
      </c>
      <c r="AC67" s="118">
        <f>Y67*Z67*AB67</f>
        <v>18750000</v>
      </c>
      <c r="AD67" s="250"/>
      <c r="AE67" s="251"/>
      <c r="AF67" s="87"/>
      <c r="AG67" s="88"/>
      <c r="AH67" s="88"/>
      <c r="AI67" s="252"/>
      <c r="AJ67" s="260"/>
      <c r="AK67" s="89"/>
    </row>
    <row r="68" spans="1:37" s="27" customFormat="1" ht="27.75" customHeight="1">
      <c r="A68" s="276"/>
      <c r="B68" s="271"/>
      <c r="C68" s="271"/>
      <c r="D68" s="258"/>
      <c r="E68" s="258"/>
      <c r="F68" s="258"/>
      <c r="G68" s="258"/>
      <c r="H68" s="250"/>
      <c r="I68" s="256"/>
      <c r="J68" s="251"/>
      <c r="K68" s="251"/>
      <c r="L68" s="250"/>
      <c r="M68" s="272"/>
      <c r="N68" s="250"/>
      <c r="O68" s="250"/>
      <c r="P68" s="250"/>
      <c r="Q68" s="250"/>
      <c r="R68" s="250"/>
      <c r="S68" s="250"/>
      <c r="T68" s="250"/>
      <c r="U68" s="124" t="s">
        <v>419</v>
      </c>
      <c r="V68" s="117"/>
      <c r="W68" s="117"/>
      <c r="X68" s="117" t="s">
        <v>399</v>
      </c>
      <c r="Y68" s="118">
        <v>1</v>
      </c>
      <c r="Z68" s="62"/>
      <c r="AA68" s="84"/>
      <c r="AB68" s="117">
        <v>0</v>
      </c>
      <c r="AC68" s="118">
        <f t="shared" ref="AC68" si="9">Y68*Z68*AB68/100</f>
        <v>0</v>
      </c>
      <c r="AD68" s="250"/>
      <c r="AE68" s="251"/>
      <c r="AF68" s="87"/>
      <c r="AG68" s="88"/>
      <c r="AH68" s="88"/>
      <c r="AI68" s="252"/>
      <c r="AJ68" s="261"/>
      <c r="AK68" s="89"/>
    </row>
    <row r="69" spans="1:37" s="27" customFormat="1" ht="42.75" customHeight="1">
      <c r="A69" s="262">
        <v>11</v>
      </c>
      <c r="B69" s="271" t="s">
        <v>412</v>
      </c>
      <c r="C69" s="271" t="s">
        <v>412</v>
      </c>
      <c r="D69" s="258">
        <v>3</v>
      </c>
      <c r="E69" s="258">
        <v>443</v>
      </c>
      <c r="F69" s="258">
        <v>465.5</v>
      </c>
      <c r="G69" s="258" t="s">
        <v>28</v>
      </c>
      <c r="H69" s="250">
        <v>450</v>
      </c>
      <c r="I69" s="256">
        <f>F69-H69</f>
        <v>15.5</v>
      </c>
      <c r="J69" s="251">
        <v>450</v>
      </c>
      <c r="K69" s="251">
        <v>2520</v>
      </c>
      <c r="L69" s="250">
        <v>450</v>
      </c>
      <c r="M69" s="272">
        <f>J69/K69*100</f>
        <v>17.857142857142858</v>
      </c>
      <c r="N69" s="250">
        <v>3</v>
      </c>
      <c r="O69" s="250">
        <v>5</v>
      </c>
      <c r="P69" s="250">
        <v>80000</v>
      </c>
      <c r="Q69" s="250">
        <f>P69*J69</f>
        <v>36000000</v>
      </c>
      <c r="R69" s="250">
        <f>Q69*3</f>
        <v>108000000</v>
      </c>
      <c r="S69" s="250">
        <f>N69*O69*17000*30</f>
        <v>7650000</v>
      </c>
      <c r="T69" s="250">
        <f>SUM(Q69:S75)</f>
        <v>151650000</v>
      </c>
      <c r="U69" s="124" t="s">
        <v>622</v>
      </c>
      <c r="V69" s="117">
        <v>25</v>
      </c>
      <c r="W69" s="117">
        <f>J69/V69</f>
        <v>18</v>
      </c>
      <c r="X69" s="117" t="s">
        <v>2</v>
      </c>
      <c r="Y69" s="118">
        <v>7</v>
      </c>
      <c r="Z69" s="62"/>
      <c r="AA69" s="84"/>
      <c r="AB69" s="68"/>
      <c r="AC69" s="118">
        <f>Y69*Z69*AB69</f>
        <v>0</v>
      </c>
      <c r="AD69" s="250">
        <f>SUM(AC69:AC75)</f>
        <v>79625000</v>
      </c>
      <c r="AE69" s="251">
        <f>T69+AD69</f>
        <v>231275000</v>
      </c>
      <c r="AF69" s="90">
        <f>Y69*25</f>
        <v>175</v>
      </c>
      <c r="AG69" s="88" t="s">
        <v>658</v>
      </c>
      <c r="AH69" s="88"/>
      <c r="AI69" s="252" t="s">
        <v>659</v>
      </c>
      <c r="AJ69" s="259" t="s">
        <v>681</v>
      </c>
      <c r="AK69" s="89"/>
    </row>
    <row r="70" spans="1:37" s="27" customFormat="1" ht="23.25" customHeight="1">
      <c r="A70" s="262"/>
      <c r="B70" s="271"/>
      <c r="C70" s="271"/>
      <c r="D70" s="258"/>
      <c r="E70" s="258"/>
      <c r="F70" s="258"/>
      <c r="G70" s="258"/>
      <c r="H70" s="250"/>
      <c r="I70" s="256"/>
      <c r="J70" s="251"/>
      <c r="K70" s="251"/>
      <c r="L70" s="250"/>
      <c r="M70" s="272"/>
      <c r="N70" s="250"/>
      <c r="O70" s="250"/>
      <c r="P70" s="250"/>
      <c r="Q70" s="250"/>
      <c r="R70" s="250"/>
      <c r="S70" s="250"/>
      <c r="T70" s="250"/>
      <c r="U70" s="67" t="s">
        <v>421</v>
      </c>
      <c r="V70" s="117"/>
      <c r="W70" s="117"/>
      <c r="X70" s="117" t="s">
        <v>2</v>
      </c>
      <c r="Y70" s="118">
        <v>7</v>
      </c>
      <c r="Z70" s="62">
        <v>4500000</v>
      </c>
      <c r="AA70" s="84"/>
      <c r="AB70" s="68">
        <v>1</v>
      </c>
      <c r="AC70" s="118">
        <f>Y70*Z70*AB70</f>
        <v>31500000</v>
      </c>
      <c r="AD70" s="250"/>
      <c r="AE70" s="251"/>
      <c r="AF70" s="90"/>
      <c r="AG70" s="88"/>
      <c r="AH70" s="88"/>
      <c r="AI70" s="252"/>
      <c r="AJ70" s="260"/>
      <c r="AK70" s="89"/>
    </row>
    <row r="71" spans="1:37" s="27" customFormat="1" ht="51" customHeight="1">
      <c r="A71" s="262"/>
      <c r="B71" s="271"/>
      <c r="C71" s="271"/>
      <c r="D71" s="258"/>
      <c r="E71" s="258"/>
      <c r="F71" s="258"/>
      <c r="G71" s="258"/>
      <c r="H71" s="250"/>
      <c r="I71" s="256"/>
      <c r="J71" s="251"/>
      <c r="K71" s="251"/>
      <c r="L71" s="250"/>
      <c r="M71" s="272"/>
      <c r="N71" s="250"/>
      <c r="O71" s="250"/>
      <c r="P71" s="250"/>
      <c r="Q71" s="250"/>
      <c r="R71" s="250"/>
      <c r="S71" s="250"/>
      <c r="T71" s="250"/>
      <c r="U71" s="82" t="s">
        <v>660</v>
      </c>
      <c r="V71" s="50"/>
      <c r="W71" s="50"/>
      <c r="X71" s="117" t="s">
        <v>2</v>
      </c>
      <c r="Y71" s="118">
        <v>14</v>
      </c>
      <c r="Z71" s="62"/>
      <c r="AA71" s="84"/>
      <c r="AB71" s="68"/>
      <c r="AC71" s="118">
        <f>Y71*Z71*AB71</f>
        <v>0</v>
      </c>
      <c r="AD71" s="250"/>
      <c r="AE71" s="251"/>
      <c r="AF71" s="90">
        <f>Y71*25</f>
        <v>350</v>
      </c>
      <c r="AG71" s="88"/>
      <c r="AH71" s="88"/>
      <c r="AI71" s="252"/>
      <c r="AJ71" s="260"/>
      <c r="AK71" s="89"/>
    </row>
    <row r="72" spans="1:37" s="27" customFormat="1" ht="23.25" customHeight="1">
      <c r="A72" s="262"/>
      <c r="B72" s="271"/>
      <c r="C72" s="271"/>
      <c r="D72" s="258"/>
      <c r="E72" s="258"/>
      <c r="F72" s="258"/>
      <c r="G72" s="258"/>
      <c r="H72" s="250"/>
      <c r="I72" s="256"/>
      <c r="J72" s="251"/>
      <c r="K72" s="251"/>
      <c r="L72" s="250"/>
      <c r="M72" s="272"/>
      <c r="N72" s="250"/>
      <c r="O72" s="250"/>
      <c r="P72" s="250"/>
      <c r="Q72" s="250"/>
      <c r="R72" s="250"/>
      <c r="S72" s="250"/>
      <c r="T72" s="250"/>
      <c r="U72" s="67" t="s">
        <v>421</v>
      </c>
      <c r="V72" s="50"/>
      <c r="W72" s="50"/>
      <c r="X72" s="117" t="s">
        <v>2</v>
      </c>
      <c r="Y72" s="118">
        <f>18-Y70</f>
        <v>11</v>
      </c>
      <c r="Z72" s="62">
        <v>3850000</v>
      </c>
      <c r="AA72" s="84"/>
      <c r="AB72" s="68">
        <v>1</v>
      </c>
      <c r="AC72" s="118">
        <f>Y72*Z72*AB72</f>
        <v>42350000</v>
      </c>
      <c r="AD72" s="250"/>
      <c r="AE72" s="251"/>
      <c r="AF72" s="90"/>
      <c r="AG72" s="88"/>
      <c r="AH72" s="88"/>
      <c r="AI72" s="252"/>
      <c r="AJ72" s="260"/>
      <c r="AK72" s="89"/>
    </row>
    <row r="73" spans="1:37" s="27" customFormat="1" ht="23.25" customHeight="1">
      <c r="A73" s="262"/>
      <c r="B73" s="271"/>
      <c r="C73" s="271"/>
      <c r="D73" s="258"/>
      <c r="E73" s="258"/>
      <c r="F73" s="258"/>
      <c r="G73" s="258"/>
      <c r="H73" s="250"/>
      <c r="I73" s="256"/>
      <c r="J73" s="251"/>
      <c r="K73" s="251"/>
      <c r="L73" s="250"/>
      <c r="M73" s="272"/>
      <c r="N73" s="250"/>
      <c r="O73" s="250"/>
      <c r="P73" s="250"/>
      <c r="Q73" s="250"/>
      <c r="R73" s="250"/>
      <c r="S73" s="250"/>
      <c r="T73" s="250"/>
      <c r="U73" s="67" t="s">
        <v>423</v>
      </c>
      <c r="V73" s="50"/>
      <c r="W73" s="50"/>
      <c r="X73" s="117" t="s">
        <v>2</v>
      </c>
      <c r="Y73" s="118">
        <v>3</v>
      </c>
      <c r="Z73" s="62">
        <v>3850000</v>
      </c>
      <c r="AA73" s="84"/>
      <c r="AB73" s="68">
        <v>0.5</v>
      </c>
      <c r="AC73" s="118">
        <f>Y73*Z73*AB73</f>
        <v>5775000</v>
      </c>
      <c r="AD73" s="250"/>
      <c r="AE73" s="251"/>
      <c r="AF73" s="90"/>
      <c r="AG73" s="88"/>
      <c r="AH73" s="88"/>
      <c r="AI73" s="252"/>
      <c r="AJ73" s="260"/>
      <c r="AK73" s="89"/>
    </row>
    <row r="74" spans="1:37" s="27" customFormat="1" ht="42" customHeight="1">
      <c r="A74" s="262"/>
      <c r="B74" s="271"/>
      <c r="C74" s="271"/>
      <c r="D74" s="258"/>
      <c r="E74" s="258"/>
      <c r="F74" s="258"/>
      <c r="G74" s="258"/>
      <c r="H74" s="250"/>
      <c r="I74" s="256"/>
      <c r="J74" s="251"/>
      <c r="K74" s="251"/>
      <c r="L74" s="250"/>
      <c r="M74" s="272"/>
      <c r="N74" s="250"/>
      <c r="O74" s="250"/>
      <c r="P74" s="250"/>
      <c r="Q74" s="250"/>
      <c r="R74" s="250"/>
      <c r="S74" s="250"/>
      <c r="T74" s="250"/>
      <c r="U74" s="124" t="s">
        <v>661</v>
      </c>
      <c r="V74" s="117"/>
      <c r="W74" s="117"/>
      <c r="X74" s="117" t="s">
        <v>6</v>
      </c>
      <c r="Y74" s="114">
        <v>6</v>
      </c>
      <c r="Z74" s="100"/>
      <c r="AA74" s="84"/>
      <c r="AB74" s="117">
        <v>0</v>
      </c>
      <c r="AC74" s="118">
        <f t="shared" ref="AC74:AC75" si="10">Y74*Z74*AB74/100</f>
        <v>0</v>
      </c>
      <c r="AD74" s="250"/>
      <c r="AE74" s="251"/>
      <c r="AF74" s="90"/>
      <c r="AG74" s="88"/>
      <c r="AH74" s="88"/>
      <c r="AI74" s="252"/>
      <c r="AJ74" s="260"/>
      <c r="AK74" s="89"/>
    </row>
    <row r="75" spans="1:37" s="27" customFormat="1" ht="57.75" customHeight="1">
      <c r="A75" s="262"/>
      <c r="B75" s="271"/>
      <c r="C75" s="271"/>
      <c r="D75" s="258"/>
      <c r="E75" s="258"/>
      <c r="F75" s="258"/>
      <c r="G75" s="258"/>
      <c r="H75" s="250"/>
      <c r="I75" s="256"/>
      <c r="J75" s="251"/>
      <c r="K75" s="251"/>
      <c r="L75" s="250"/>
      <c r="M75" s="272"/>
      <c r="N75" s="250"/>
      <c r="O75" s="250"/>
      <c r="P75" s="250"/>
      <c r="Q75" s="250"/>
      <c r="R75" s="250"/>
      <c r="S75" s="250"/>
      <c r="T75" s="250"/>
      <c r="U75" s="124" t="s">
        <v>506</v>
      </c>
      <c r="V75" s="117"/>
      <c r="W75" s="117"/>
      <c r="X75" s="117" t="s">
        <v>6</v>
      </c>
      <c r="Y75" s="114">
        <v>188</v>
      </c>
      <c r="Z75" s="100"/>
      <c r="AA75" s="84"/>
      <c r="AB75" s="117">
        <v>0</v>
      </c>
      <c r="AC75" s="118">
        <f t="shared" si="10"/>
        <v>0</v>
      </c>
      <c r="AD75" s="250"/>
      <c r="AE75" s="251"/>
      <c r="AF75" s="91"/>
      <c r="AG75" s="88"/>
      <c r="AH75" s="88"/>
      <c r="AI75" s="252"/>
      <c r="AJ75" s="261"/>
      <c r="AK75" s="89"/>
    </row>
    <row r="76" spans="1:37" s="18" customFormat="1" ht="24.75" customHeight="1">
      <c r="A76" s="131"/>
      <c r="B76" s="34" t="s">
        <v>616</v>
      </c>
      <c r="C76" s="125"/>
      <c r="D76" s="125"/>
      <c r="E76" s="125"/>
      <c r="F76" s="125"/>
      <c r="G76" s="125"/>
      <c r="H76" s="116"/>
      <c r="I76" s="115"/>
      <c r="J76" s="118"/>
      <c r="K76" s="118"/>
      <c r="L76" s="125"/>
      <c r="M76" s="93"/>
      <c r="N76" s="116"/>
      <c r="O76" s="116"/>
      <c r="P76" s="116"/>
      <c r="Q76" s="116"/>
      <c r="R76" s="116"/>
      <c r="S76" s="116"/>
      <c r="T76" s="116"/>
      <c r="U76" s="36"/>
      <c r="V76" s="33"/>
      <c r="W76" s="33"/>
      <c r="X76" s="125"/>
      <c r="Y76" s="116"/>
      <c r="Z76" s="94"/>
      <c r="AA76" s="95"/>
      <c r="AB76" s="96"/>
      <c r="AC76" s="116"/>
      <c r="AD76" s="116"/>
      <c r="AE76" s="116"/>
      <c r="AF76" s="31"/>
      <c r="AG76" s="97"/>
      <c r="AH76" s="97"/>
      <c r="AI76" s="97"/>
      <c r="AJ76" s="97"/>
      <c r="AK76" s="97"/>
    </row>
    <row r="77" spans="1:37" s="26" customFormat="1" ht="32.25" customHeight="1">
      <c r="A77" s="262">
        <v>12</v>
      </c>
      <c r="B77" s="271" t="s">
        <v>402</v>
      </c>
      <c r="C77" s="271" t="s">
        <v>412</v>
      </c>
      <c r="D77" s="258">
        <v>64</v>
      </c>
      <c r="E77" s="258">
        <v>603</v>
      </c>
      <c r="F77" s="258">
        <v>1688.8</v>
      </c>
      <c r="G77" s="258" t="s">
        <v>28</v>
      </c>
      <c r="H77" s="250">
        <v>1800</v>
      </c>
      <c r="I77" s="256">
        <f>F77-H77</f>
        <v>-111.20000000000005</v>
      </c>
      <c r="J77" s="250">
        <v>1800</v>
      </c>
      <c r="K77" s="250">
        <v>1800</v>
      </c>
      <c r="L77" s="250"/>
      <c r="M77" s="272">
        <f>J77/K77*100</f>
        <v>100</v>
      </c>
      <c r="N77" s="250">
        <v>12</v>
      </c>
      <c r="O77" s="250">
        <v>9</v>
      </c>
      <c r="P77" s="250">
        <v>80000</v>
      </c>
      <c r="Q77" s="250">
        <f>P77*J77</f>
        <v>144000000</v>
      </c>
      <c r="R77" s="250">
        <f>Q77*3</f>
        <v>432000000</v>
      </c>
      <c r="S77" s="250">
        <f>N77*O77*17000*30</f>
        <v>55080000</v>
      </c>
      <c r="T77" s="250">
        <f>SUM(Q77:S85)</f>
        <v>631080000</v>
      </c>
      <c r="U77" s="65" t="s">
        <v>641</v>
      </c>
      <c r="V77" s="126">
        <v>25</v>
      </c>
      <c r="W77" s="126">
        <f>H77/25</f>
        <v>72</v>
      </c>
      <c r="X77" s="117" t="s">
        <v>2</v>
      </c>
      <c r="Y77" s="118">
        <v>9</v>
      </c>
      <c r="Z77" s="62"/>
      <c r="AA77" s="84"/>
      <c r="AB77" s="68"/>
      <c r="AC77" s="118"/>
      <c r="AD77" s="250">
        <f>SUM(AC77:AC85)</f>
        <v>142650000</v>
      </c>
      <c r="AE77" s="251">
        <f>T77+AD77</f>
        <v>773730000</v>
      </c>
      <c r="AF77" s="31" t="s">
        <v>452</v>
      </c>
      <c r="AG77" s="98"/>
      <c r="AH77" s="99"/>
      <c r="AI77" s="99"/>
      <c r="AJ77" s="99"/>
      <c r="AK77" s="99"/>
    </row>
    <row r="78" spans="1:37" s="26" customFormat="1" ht="23.25" customHeight="1">
      <c r="A78" s="262"/>
      <c r="B78" s="271"/>
      <c r="C78" s="271"/>
      <c r="D78" s="258"/>
      <c r="E78" s="258"/>
      <c r="F78" s="258"/>
      <c r="G78" s="258"/>
      <c r="H78" s="250"/>
      <c r="I78" s="256"/>
      <c r="J78" s="250"/>
      <c r="K78" s="250"/>
      <c r="L78" s="250"/>
      <c r="M78" s="272"/>
      <c r="N78" s="250"/>
      <c r="O78" s="250"/>
      <c r="P78" s="250"/>
      <c r="Q78" s="250"/>
      <c r="R78" s="250"/>
      <c r="S78" s="250"/>
      <c r="T78" s="250"/>
      <c r="U78" s="67" t="s">
        <v>421</v>
      </c>
      <c r="V78" s="126"/>
      <c r="W78" s="126"/>
      <c r="X78" s="117" t="s">
        <v>2</v>
      </c>
      <c r="Y78" s="118">
        <v>9</v>
      </c>
      <c r="Z78" s="62">
        <v>3750000</v>
      </c>
      <c r="AA78" s="84"/>
      <c r="AB78" s="68">
        <v>1</v>
      </c>
      <c r="AC78" s="118">
        <f>Y78*Z78*AB78</f>
        <v>33750000</v>
      </c>
      <c r="AD78" s="250"/>
      <c r="AE78" s="251"/>
      <c r="AF78" s="31"/>
      <c r="AG78" s="98"/>
      <c r="AH78" s="99"/>
      <c r="AI78" s="99"/>
      <c r="AJ78" s="99"/>
      <c r="AK78" s="99"/>
    </row>
    <row r="79" spans="1:37" s="26" customFormat="1" ht="39" customHeight="1">
      <c r="A79" s="262"/>
      <c r="B79" s="271"/>
      <c r="C79" s="271"/>
      <c r="D79" s="258"/>
      <c r="E79" s="258"/>
      <c r="F79" s="258"/>
      <c r="G79" s="258"/>
      <c r="H79" s="250"/>
      <c r="I79" s="256"/>
      <c r="J79" s="250"/>
      <c r="K79" s="250"/>
      <c r="L79" s="250"/>
      <c r="M79" s="272"/>
      <c r="N79" s="250"/>
      <c r="O79" s="250"/>
      <c r="P79" s="250"/>
      <c r="Q79" s="250"/>
      <c r="R79" s="250"/>
      <c r="S79" s="250"/>
      <c r="T79" s="250"/>
      <c r="U79" s="65" t="s">
        <v>642</v>
      </c>
      <c r="V79" s="126"/>
      <c r="W79" s="126"/>
      <c r="X79" s="117" t="s">
        <v>2</v>
      </c>
      <c r="Y79" s="118">
        <v>27</v>
      </c>
      <c r="Z79" s="62"/>
      <c r="AA79" s="84"/>
      <c r="AB79" s="68"/>
      <c r="AC79" s="118"/>
      <c r="AD79" s="250"/>
      <c r="AE79" s="251"/>
      <c r="AF79" s="31"/>
      <c r="AG79" s="98"/>
      <c r="AH79" s="99"/>
      <c r="AI79" s="99"/>
      <c r="AJ79" s="99"/>
      <c r="AK79" s="99"/>
    </row>
    <row r="80" spans="1:37" s="26" customFormat="1" ht="23.25" customHeight="1">
      <c r="A80" s="262"/>
      <c r="B80" s="271"/>
      <c r="C80" s="271"/>
      <c r="D80" s="258"/>
      <c r="E80" s="258"/>
      <c r="F80" s="258"/>
      <c r="G80" s="258"/>
      <c r="H80" s="250"/>
      <c r="I80" s="256"/>
      <c r="J80" s="250"/>
      <c r="K80" s="250"/>
      <c r="L80" s="250"/>
      <c r="M80" s="272"/>
      <c r="N80" s="250"/>
      <c r="O80" s="250"/>
      <c r="P80" s="250"/>
      <c r="Q80" s="250"/>
      <c r="R80" s="250"/>
      <c r="S80" s="250"/>
      <c r="T80" s="250"/>
      <c r="U80" s="67" t="s">
        <v>421</v>
      </c>
      <c r="V80" s="126"/>
      <c r="W80" s="126"/>
      <c r="X80" s="117" t="s">
        <v>2</v>
      </c>
      <c r="Y80" s="118">
        <v>27</v>
      </c>
      <c r="Z80" s="62">
        <v>2700000</v>
      </c>
      <c r="AA80" s="84"/>
      <c r="AB80" s="68">
        <v>1</v>
      </c>
      <c r="AC80" s="118">
        <f>Y80*Z80*AB80</f>
        <v>72900000</v>
      </c>
      <c r="AD80" s="250"/>
      <c r="AE80" s="251"/>
      <c r="AF80" s="31"/>
      <c r="AG80" s="98"/>
      <c r="AH80" s="99"/>
      <c r="AI80" s="99"/>
      <c r="AJ80" s="99"/>
      <c r="AK80" s="99"/>
    </row>
    <row r="81" spans="1:37" s="26" customFormat="1" ht="36" customHeight="1">
      <c r="A81" s="262"/>
      <c r="B81" s="271"/>
      <c r="C81" s="271"/>
      <c r="D81" s="258"/>
      <c r="E81" s="258"/>
      <c r="F81" s="258"/>
      <c r="G81" s="258"/>
      <c r="H81" s="250"/>
      <c r="I81" s="256"/>
      <c r="J81" s="250"/>
      <c r="K81" s="250"/>
      <c r="L81" s="250"/>
      <c r="M81" s="272"/>
      <c r="N81" s="250"/>
      <c r="O81" s="250"/>
      <c r="P81" s="250"/>
      <c r="Q81" s="250"/>
      <c r="R81" s="250"/>
      <c r="S81" s="250"/>
      <c r="T81" s="250"/>
      <c r="U81" s="65" t="s">
        <v>480</v>
      </c>
      <c r="V81" s="126">
        <v>4</v>
      </c>
      <c r="W81" s="126">
        <f>H77/4</f>
        <v>450</v>
      </c>
      <c r="X81" s="117" t="s">
        <v>396</v>
      </c>
      <c r="Y81" s="118">
        <v>300</v>
      </c>
      <c r="Z81" s="62"/>
      <c r="AA81" s="84"/>
      <c r="AB81" s="68"/>
      <c r="AC81" s="118"/>
      <c r="AD81" s="250"/>
      <c r="AE81" s="251"/>
      <c r="AF81" s="31"/>
      <c r="AG81" s="98"/>
      <c r="AH81" s="99"/>
      <c r="AI81" s="99"/>
      <c r="AJ81" s="99"/>
      <c r="AK81" s="99"/>
    </row>
    <row r="82" spans="1:37" s="26" customFormat="1" ht="25.5" customHeight="1">
      <c r="A82" s="262"/>
      <c r="B82" s="271"/>
      <c r="C82" s="271"/>
      <c r="D82" s="258"/>
      <c r="E82" s="258"/>
      <c r="F82" s="258"/>
      <c r="G82" s="258"/>
      <c r="H82" s="250"/>
      <c r="I82" s="256"/>
      <c r="J82" s="250"/>
      <c r="K82" s="250"/>
      <c r="L82" s="250"/>
      <c r="M82" s="272"/>
      <c r="N82" s="250"/>
      <c r="O82" s="250"/>
      <c r="P82" s="250"/>
      <c r="Q82" s="250"/>
      <c r="R82" s="250"/>
      <c r="S82" s="250"/>
      <c r="T82" s="250"/>
      <c r="U82" s="67" t="s">
        <v>421</v>
      </c>
      <c r="V82" s="126"/>
      <c r="W82" s="126"/>
      <c r="X82" s="117" t="s">
        <v>2</v>
      </c>
      <c r="Y82" s="118">
        <v>300</v>
      </c>
      <c r="Z82" s="62">
        <v>200000</v>
      </c>
      <c r="AA82" s="84"/>
      <c r="AB82" s="68">
        <v>0.5</v>
      </c>
      <c r="AC82" s="118">
        <f>Y82*Z82*AB82</f>
        <v>30000000</v>
      </c>
      <c r="AD82" s="250"/>
      <c r="AE82" s="251"/>
      <c r="AF82" s="31"/>
      <c r="AG82" s="98"/>
      <c r="AH82" s="99"/>
      <c r="AI82" s="99"/>
      <c r="AJ82" s="99"/>
      <c r="AK82" s="99"/>
    </row>
    <row r="83" spans="1:37" s="26" customFormat="1" ht="36.75" customHeight="1">
      <c r="A83" s="262"/>
      <c r="B83" s="271"/>
      <c r="C83" s="271"/>
      <c r="D83" s="258"/>
      <c r="E83" s="258"/>
      <c r="F83" s="258"/>
      <c r="G83" s="258"/>
      <c r="H83" s="250"/>
      <c r="I83" s="256"/>
      <c r="J83" s="250"/>
      <c r="K83" s="250"/>
      <c r="L83" s="250"/>
      <c r="M83" s="272"/>
      <c r="N83" s="250"/>
      <c r="O83" s="250"/>
      <c r="P83" s="250"/>
      <c r="Q83" s="250"/>
      <c r="R83" s="250"/>
      <c r="S83" s="250"/>
      <c r="T83" s="250"/>
      <c r="U83" s="65" t="s">
        <v>481</v>
      </c>
      <c r="V83" s="126"/>
      <c r="W83" s="126"/>
      <c r="X83" s="117" t="s">
        <v>396</v>
      </c>
      <c r="Y83" s="118">
        <v>80</v>
      </c>
      <c r="Z83" s="62"/>
      <c r="AA83" s="84"/>
      <c r="AB83" s="68"/>
      <c r="AC83" s="118"/>
      <c r="AD83" s="250"/>
      <c r="AE83" s="251"/>
      <c r="AF83" s="31"/>
      <c r="AG83" s="98"/>
      <c r="AH83" s="99"/>
      <c r="AI83" s="99"/>
      <c r="AJ83" s="99"/>
      <c r="AK83" s="99"/>
    </row>
    <row r="84" spans="1:37" s="26" customFormat="1" ht="23.25" customHeight="1">
      <c r="A84" s="262"/>
      <c r="B84" s="271"/>
      <c r="C84" s="271"/>
      <c r="D84" s="258"/>
      <c r="E84" s="258"/>
      <c r="F84" s="258"/>
      <c r="G84" s="258"/>
      <c r="H84" s="250"/>
      <c r="I84" s="256"/>
      <c r="J84" s="250"/>
      <c r="K84" s="250"/>
      <c r="L84" s="250"/>
      <c r="M84" s="272"/>
      <c r="N84" s="250"/>
      <c r="O84" s="250"/>
      <c r="P84" s="250"/>
      <c r="Q84" s="250"/>
      <c r="R84" s="250"/>
      <c r="S84" s="250"/>
      <c r="T84" s="250"/>
      <c r="U84" s="67" t="s">
        <v>421</v>
      </c>
      <c r="V84" s="126"/>
      <c r="W84" s="126"/>
      <c r="X84" s="117" t="s">
        <v>2</v>
      </c>
      <c r="Y84" s="118">
        <v>80</v>
      </c>
      <c r="Z84" s="62">
        <v>150000</v>
      </c>
      <c r="AA84" s="84"/>
      <c r="AB84" s="68">
        <v>0.5</v>
      </c>
      <c r="AC84" s="118">
        <f>Y84*Z84*AB84</f>
        <v>6000000</v>
      </c>
      <c r="AD84" s="250"/>
      <c r="AE84" s="251"/>
      <c r="AF84" s="31"/>
      <c r="AG84" s="98"/>
      <c r="AH84" s="99"/>
      <c r="AI84" s="99"/>
      <c r="AJ84" s="99"/>
      <c r="AK84" s="99"/>
    </row>
    <row r="85" spans="1:37" s="26" customFormat="1" ht="57.75" customHeight="1">
      <c r="A85" s="262"/>
      <c r="B85" s="271"/>
      <c r="C85" s="271"/>
      <c r="D85" s="258"/>
      <c r="E85" s="258"/>
      <c r="F85" s="258"/>
      <c r="G85" s="258"/>
      <c r="H85" s="250"/>
      <c r="I85" s="256"/>
      <c r="J85" s="250"/>
      <c r="K85" s="250"/>
      <c r="L85" s="250"/>
      <c r="M85" s="272"/>
      <c r="N85" s="250"/>
      <c r="O85" s="250"/>
      <c r="P85" s="250"/>
      <c r="Q85" s="250"/>
      <c r="R85" s="250"/>
      <c r="S85" s="250"/>
      <c r="T85" s="250"/>
      <c r="U85" s="120" t="s">
        <v>470</v>
      </c>
      <c r="V85" s="126"/>
      <c r="W85" s="126"/>
      <c r="X85" s="117" t="s">
        <v>0</v>
      </c>
      <c r="Y85" s="114">
        <v>6</v>
      </c>
      <c r="Z85" s="100"/>
      <c r="AA85" s="84"/>
      <c r="AB85" s="117"/>
      <c r="AC85" s="118"/>
      <c r="AD85" s="250"/>
      <c r="AE85" s="251"/>
      <c r="AF85" s="31"/>
      <c r="AG85" s="98"/>
      <c r="AH85" s="99"/>
      <c r="AI85" s="99"/>
      <c r="AJ85" s="99"/>
      <c r="AK85" s="99"/>
    </row>
    <row r="86" spans="1:37" s="19" customFormat="1" ht="38.25" customHeight="1">
      <c r="A86" s="262">
        <v>13</v>
      </c>
      <c r="B86" s="271" t="s">
        <v>403</v>
      </c>
      <c r="C86" s="258" t="s">
        <v>39</v>
      </c>
      <c r="D86" s="258">
        <v>64</v>
      </c>
      <c r="E86" s="258">
        <v>489</v>
      </c>
      <c r="F86" s="258">
        <v>1528.1</v>
      </c>
      <c r="G86" s="258" t="s">
        <v>28</v>
      </c>
      <c r="H86" s="250">
        <v>1528</v>
      </c>
      <c r="I86" s="256">
        <f>F86-H86</f>
        <v>9.9999999999909051E-2</v>
      </c>
      <c r="J86" s="250">
        <f>H86+H97</f>
        <v>1888</v>
      </c>
      <c r="K86" s="250">
        <v>2160</v>
      </c>
      <c r="L86" s="250"/>
      <c r="M86" s="256">
        <f>J86/K86*100</f>
        <v>87.407407407407405</v>
      </c>
      <c r="N86" s="250">
        <v>12</v>
      </c>
      <c r="O86" s="250">
        <v>10</v>
      </c>
      <c r="P86" s="250">
        <v>80000</v>
      </c>
      <c r="Q86" s="250">
        <f>P86*J86</f>
        <v>151040000</v>
      </c>
      <c r="R86" s="250">
        <f>Q86*3</f>
        <v>453120000</v>
      </c>
      <c r="S86" s="250">
        <f>N86*O86*17000*30</f>
        <v>61200000</v>
      </c>
      <c r="T86" s="250">
        <f>SUM(Q86:S107)</f>
        <v>665360000</v>
      </c>
      <c r="U86" s="65" t="s">
        <v>420</v>
      </c>
      <c r="V86" s="126">
        <v>20</v>
      </c>
      <c r="W86" s="126">
        <f>H86/V86</f>
        <v>76.400000000000006</v>
      </c>
      <c r="X86" s="117" t="s">
        <v>2</v>
      </c>
      <c r="Y86" s="118">
        <v>20</v>
      </c>
      <c r="Z86" s="62"/>
      <c r="AA86" s="79"/>
      <c r="AB86" s="80"/>
      <c r="AC86" s="118"/>
      <c r="AD86" s="250">
        <f>SUM(AC86:AC96)</f>
        <v>163500000</v>
      </c>
      <c r="AE86" s="251">
        <f>T86+AD86+AD97</f>
        <v>876860000</v>
      </c>
      <c r="AF86" s="31" t="s">
        <v>428</v>
      </c>
      <c r="AG86" s="81"/>
      <c r="AH86" s="81"/>
      <c r="AI86" s="81"/>
      <c r="AJ86" s="81"/>
      <c r="AK86" s="81"/>
    </row>
    <row r="87" spans="1:37" s="19" customFormat="1" ht="22.5" customHeight="1">
      <c r="A87" s="262"/>
      <c r="B87" s="271"/>
      <c r="C87" s="258"/>
      <c r="D87" s="258"/>
      <c r="E87" s="258"/>
      <c r="F87" s="258"/>
      <c r="G87" s="258"/>
      <c r="H87" s="250"/>
      <c r="I87" s="256"/>
      <c r="J87" s="250"/>
      <c r="K87" s="250"/>
      <c r="L87" s="250"/>
      <c r="M87" s="256"/>
      <c r="N87" s="250"/>
      <c r="O87" s="250"/>
      <c r="P87" s="250"/>
      <c r="Q87" s="250"/>
      <c r="R87" s="250"/>
      <c r="S87" s="250"/>
      <c r="T87" s="250"/>
      <c r="U87" s="67" t="s">
        <v>421</v>
      </c>
      <c r="V87" s="126"/>
      <c r="W87" s="126"/>
      <c r="X87" s="117" t="s">
        <v>2</v>
      </c>
      <c r="Y87" s="118">
        <v>20</v>
      </c>
      <c r="Z87" s="62">
        <v>2500000</v>
      </c>
      <c r="AA87" s="79"/>
      <c r="AB87" s="80">
        <v>1</v>
      </c>
      <c r="AC87" s="118">
        <f t="shared" ref="AC87:AC89" si="11">Y87*Z87*AB87</f>
        <v>50000000</v>
      </c>
      <c r="AD87" s="250"/>
      <c r="AE87" s="251"/>
      <c r="AF87" s="31"/>
      <c r="AG87" s="81"/>
      <c r="AH87" s="81"/>
      <c r="AI87" s="81"/>
      <c r="AJ87" s="81"/>
      <c r="AK87" s="81"/>
    </row>
    <row r="88" spans="1:37" s="19" customFormat="1" ht="37.5" customHeight="1">
      <c r="A88" s="262"/>
      <c r="B88" s="271"/>
      <c r="C88" s="258"/>
      <c r="D88" s="258"/>
      <c r="E88" s="258"/>
      <c r="F88" s="258"/>
      <c r="G88" s="258"/>
      <c r="H88" s="250"/>
      <c r="I88" s="256"/>
      <c r="J88" s="250"/>
      <c r="K88" s="250"/>
      <c r="L88" s="250"/>
      <c r="M88" s="256"/>
      <c r="N88" s="250"/>
      <c r="O88" s="250"/>
      <c r="P88" s="250"/>
      <c r="Q88" s="250"/>
      <c r="R88" s="250"/>
      <c r="S88" s="250"/>
      <c r="T88" s="250"/>
      <c r="U88" s="65" t="s">
        <v>645</v>
      </c>
      <c r="V88" s="126"/>
      <c r="W88" s="126"/>
      <c r="X88" s="117" t="s">
        <v>2</v>
      </c>
      <c r="Y88" s="118">
        <v>55</v>
      </c>
      <c r="Z88" s="62"/>
      <c r="AA88" s="79"/>
      <c r="AB88" s="80"/>
      <c r="AC88" s="118"/>
      <c r="AD88" s="250"/>
      <c r="AE88" s="251"/>
      <c r="AF88" s="31"/>
      <c r="AG88" s="81"/>
      <c r="AH88" s="81"/>
      <c r="AI88" s="81"/>
      <c r="AJ88" s="81"/>
      <c r="AK88" s="81"/>
    </row>
    <row r="89" spans="1:37" s="19" customFormat="1" ht="22.5" customHeight="1">
      <c r="A89" s="262"/>
      <c r="B89" s="271"/>
      <c r="C89" s="258"/>
      <c r="D89" s="258"/>
      <c r="E89" s="258"/>
      <c r="F89" s="258"/>
      <c r="G89" s="258"/>
      <c r="H89" s="250"/>
      <c r="I89" s="256"/>
      <c r="J89" s="250"/>
      <c r="K89" s="250"/>
      <c r="L89" s="250"/>
      <c r="M89" s="256"/>
      <c r="N89" s="250"/>
      <c r="O89" s="250"/>
      <c r="P89" s="250"/>
      <c r="Q89" s="250"/>
      <c r="R89" s="250"/>
      <c r="S89" s="250"/>
      <c r="T89" s="250"/>
      <c r="U89" s="67" t="s">
        <v>421</v>
      </c>
      <c r="V89" s="126"/>
      <c r="W89" s="126"/>
      <c r="X89" s="117" t="s">
        <v>2</v>
      </c>
      <c r="Y89" s="118">
        <v>55</v>
      </c>
      <c r="Z89" s="62">
        <v>1800000</v>
      </c>
      <c r="AA89" s="79"/>
      <c r="AB89" s="80">
        <v>1</v>
      </c>
      <c r="AC89" s="118">
        <f t="shared" si="11"/>
        <v>99000000</v>
      </c>
      <c r="AD89" s="250"/>
      <c r="AE89" s="251"/>
      <c r="AF89" s="31"/>
      <c r="AG89" s="81"/>
      <c r="AH89" s="81"/>
      <c r="AI89" s="81"/>
      <c r="AJ89" s="81"/>
      <c r="AK89" s="81"/>
    </row>
    <row r="90" spans="1:37" s="19" customFormat="1" ht="39.75" customHeight="1">
      <c r="A90" s="262"/>
      <c r="B90" s="271"/>
      <c r="C90" s="258"/>
      <c r="D90" s="258"/>
      <c r="E90" s="258"/>
      <c r="F90" s="258"/>
      <c r="G90" s="258"/>
      <c r="H90" s="250"/>
      <c r="I90" s="256"/>
      <c r="J90" s="250"/>
      <c r="K90" s="250"/>
      <c r="L90" s="250"/>
      <c r="M90" s="256"/>
      <c r="N90" s="250"/>
      <c r="O90" s="250"/>
      <c r="P90" s="250"/>
      <c r="Q90" s="250"/>
      <c r="R90" s="250"/>
      <c r="S90" s="250"/>
      <c r="T90" s="250"/>
      <c r="U90" s="65" t="s">
        <v>522</v>
      </c>
      <c r="V90" s="126">
        <v>25</v>
      </c>
      <c r="W90" s="126">
        <f>H86/V90</f>
        <v>61.12</v>
      </c>
      <c r="X90" s="117" t="s">
        <v>2</v>
      </c>
      <c r="Y90" s="118">
        <v>20</v>
      </c>
      <c r="Z90" s="62"/>
      <c r="AA90" s="84"/>
      <c r="AB90" s="68"/>
      <c r="AC90" s="118"/>
      <c r="AD90" s="250"/>
      <c r="AE90" s="251"/>
      <c r="AF90" s="31"/>
      <c r="AG90" s="81"/>
      <c r="AH90" s="81"/>
      <c r="AI90" s="81"/>
      <c r="AJ90" s="81"/>
      <c r="AK90" s="81"/>
    </row>
    <row r="91" spans="1:37" s="19" customFormat="1" ht="22.5" customHeight="1">
      <c r="A91" s="262"/>
      <c r="B91" s="271"/>
      <c r="C91" s="258"/>
      <c r="D91" s="258"/>
      <c r="E91" s="258"/>
      <c r="F91" s="258"/>
      <c r="G91" s="258"/>
      <c r="H91" s="250"/>
      <c r="I91" s="256"/>
      <c r="J91" s="250"/>
      <c r="K91" s="250"/>
      <c r="L91" s="250"/>
      <c r="M91" s="256"/>
      <c r="N91" s="250"/>
      <c r="O91" s="250"/>
      <c r="P91" s="250"/>
      <c r="Q91" s="250"/>
      <c r="R91" s="250"/>
      <c r="S91" s="250"/>
      <c r="T91" s="250"/>
      <c r="U91" s="67" t="s">
        <v>421</v>
      </c>
      <c r="V91" s="126"/>
      <c r="W91" s="126"/>
      <c r="X91" s="117" t="s">
        <v>2</v>
      </c>
      <c r="Y91" s="118">
        <v>20</v>
      </c>
      <c r="Z91" s="62">
        <v>1000000</v>
      </c>
      <c r="AA91" s="79"/>
      <c r="AB91" s="80">
        <v>0.5</v>
      </c>
      <c r="AC91" s="118">
        <f t="shared" ref="AC91" si="12">Y91*Z91*AB91</f>
        <v>10000000</v>
      </c>
      <c r="AD91" s="250"/>
      <c r="AE91" s="251"/>
      <c r="AF91" s="31"/>
      <c r="AG91" s="81"/>
      <c r="AH91" s="81"/>
      <c r="AI91" s="81"/>
      <c r="AJ91" s="81"/>
      <c r="AK91" s="81"/>
    </row>
    <row r="92" spans="1:37" s="19" customFormat="1" ht="34.5" customHeight="1">
      <c r="A92" s="262"/>
      <c r="B92" s="271"/>
      <c r="C92" s="258"/>
      <c r="D92" s="258"/>
      <c r="E92" s="258"/>
      <c r="F92" s="258"/>
      <c r="G92" s="258"/>
      <c r="H92" s="250"/>
      <c r="I92" s="256"/>
      <c r="J92" s="250"/>
      <c r="K92" s="250"/>
      <c r="L92" s="250"/>
      <c r="M92" s="256"/>
      <c r="N92" s="250"/>
      <c r="O92" s="250"/>
      <c r="P92" s="250"/>
      <c r="Q92" s="250"/>
      <c r="R92" s="250"/>
      <c r="S92" s="250"/>
      <c r="T92" s="250"/>
      <c r="U92" s="65" t="s">
        <v>523</v>
      </c>
      <c r="V92" s="126">
        <v>4</v>
      </c>
      <c r="W92" s="126">
        <f>H86/V92</f>
        <v>382</v>
      </c>
      <c r="X92" s="117" t="s">
        <v>396</v>
      </c>
      <c r="Y92" s="118">
        <v>30</v>
      </c>
      <c r="Z92" s="62"/>
      <c r="AA92" s="84"/>
      <c r="AB92" s="68"/>
      <c r="AC92" s="118"/>
      <c r="AD92" s="250"/>
      <c r="AE92" s="251"/>
      <c r="AF92" s="31"/>
      <c r="AG92" s="81"/>
      <c r="AH92" s="81"/>
      <c r="AI92" s="81"/>
      <c r="AJ92" s="81"/>
      <c r="AK92" s="81"/>
    </row>
    <row r="93" spans="1:37" s="19" customFormat="1" ht="22.5" customHeight="1">
      <c r="A93" s="262"/>
      <c r="B93" s="271"/>
      <c r="C93" s="258"/>
      <c r="D93" s="258"/>
      <c r="E93" s="258"/>
      <c r="F93" s="258"/>
      <c r="G93" s="258"/>
      <c r="H93" s="250"/>
      <c r="I93" s="256"/>
      <c r="J93" s="250"/>
      <c r="K93" s="250"/>
      <c r="L93" s="250"/>
      <c r="M93" s="256"/>
      <c r="N93" s="250"/>
      <c r="O93" s="250"/>
      <c r="P93" s="250"/>
      <c r="Q93" s="250"/>
      <c r="R93" s="250"/>
      <c r="S93" s="250"/>
      <c r="T93" s="250"/>
      <c r="U93" s="67" t="s">
        <v>421</v>
      </c>
      <c r="V93" s="126"/>
      <c r="W93" s="126"/>
      <c r="X93" s="117" t="s">
        <v>396</v>
      </c>
      <c r="Y93" s="118">
        <v>30</v>
      </c>
      <c r="Z93" s="62">
        <v>200000</v>
      </c>
      <c r="AA93" s="84"/>
      <c r="AB93" s="68">
        <v>0.5</v>
      </c>
      <c r="AC93" s="118">
        <f>Y93*Z93*AB93</f>
        <v>3000000</v>
      </c>
      <c r="AD93" s="250"/>
      <c r="AE93" s="251"/>
      <c r="AF93" s="31"/>
      <c r="AG93" s="81"/>
      <c r="AH93" s="81"/>
      <c r="AI93" s="81"/>
      <c r="AJ93" s="81"/>
      <c r="AK93" s="81"/>
    </row>
    <row r="94" spans="1:37" s="19" customFormat="1" ht="30.75" customHeight="1">
      <c r="A94" s="262"/>
      <c r="B94" s="271"/>
      <c r="C94" s="258"/>
      <c r="D94" s="258"/>
      <c r="E94" s="258"/>
      <c r="F94" s="258"/>
      <c r="G94" s="258"/>
      <c r="H94" s="250"/>
      <c r="I94" s="256"/>
      <c r="J94" s="250"/>
      <c r="K94" s="250"/>
      <c r="L94" s="250"/>
      <c r="M94" s="256"/>
      <c r="N94" s="250"/>
      <c r="O94" s="250"/>
      <c r="P94" s="250"/>
      <c r="Q94" s="250"/>
      <c r="R94" s="250"/>
      <c r="S94" s="250"/>
      <c r="T94" s="250"/>
      <c r="U94" s="65" t="s">
        <v>524</v>
      </c>
      <c r="V94" s="126"/>
      <c r="W94" s="126"/>
      <c r="X94" s="117" t="s">
        <v>396</v>
      </c>
      <c r="Y94" s="118">
        <v>20</v>
      </c>
      <c r="Z94" s="62"/>
      <c r="AA94" s="84"/>
      <c r="AB94" s="68"/>
      <c r="AC94" s="118"/>
      <c r="AD94" s="250"/>
      <c r="AE94" s="251"/>
      <c r="AF94" s="31"/>
      <c r="AG94" s="81"/>
      <c r="AH94" s="81"/>
      <c r="AI94" s="81"/>
      <c r="AJ94" s="81"/>
      <c r="AK94" s="81"/>
    </row>
    <row r="95" spans="1:37" s="19" customFormat="1" ht="22.5" customHeight="1">
      <c r="A95" s="262"/>
      <c r="B95" s="271"/>
      <c r="C95" s="258"/>
      <c r="D95" s="258"/>
      <c r="E95" s="258"/>
      <c r="F95" s="258"/>
      <c r="G95" s="258"/>
      <c r="H95" s="250"/>
      <c r="I95" s="256"/>
      <c r="J95" s="250"/>
      <c r="K95" s="250"/>
      <c r="L95" s="250"/>
      <c r="M95" s="256"/>
      <c r="N95" s="250"/>
      <c r="O95" s="250"/>
      <c r="P95" s="250"/>
      <c r="Q95" s="250"/>
      <c r="R95" s="250"/>
      <c r="S95" s="250"/>
      <c r="T95" s="250"/>
      <c r="U95" s="67" t="s">
        <v>421</v>
      </c>
      <c r="V95" s="126"/>
      <c r="W95" s="126"/>
      <c r="X95" s="117" t="s">
        <v>396</v>
      </c>
      <c r="Y95" s="118">
        <v>20</v>
      </c>
      <c r="Z95" s="62">
        <v>150000</v>
      </c>
      <c r="AA95" s="84"/>
      <c r="AB95" s="68">
        <v>0.5</v>
      </c>
      <c r="AC95" s="118">
        <f>Y95*Z95*AB95</f>
        <v>1500000</v>
      </c>
      <c r="AD95" s="250"/>
      <c r="AE95" s="251"/>
      <c r="AF95" s="31"/>
      <c r="AG95" s="81"/>
      <c r="AH95" s="81"/>
      <c r="AI95" s="81"/>
      <c r="AJ95" s="81"/>
      <c r="AK95" s="81"/>
    </row>
    <row r="96" spans="1:37" s="19" customFormat="1" ht="22.5" customHeight="1">
      <c r="A96" s="262"/>
      <c r="B96" s="271"/>
      <c r="C96" s="258"/>
      <c r="D96" s="258"/>
      <c r="E96" s="258"/>
      <c r="F96" s="258"/>
      <c r="G96" s="258"/>
      <c r="H96" s="250"/>
      <c r="I96" s="256"/>
      <c r="J96" s="250"/>
      <c r="K96" s="250"/>
      <c r="L96" s="250"/>
      <c r="M96" s="256"/>
      <c r="N96" s="250"/>
      <c r="O96" s="250"/>
      <c r="P96" s="250"/>
      <c r="Q96" s="250"/>
      <c r="R96" s="250"/>
      <c r="S96" s="250"/>
      <c r="T96" s="250"/>
      <c r="U96" s="124" t="s">
        <v>525</v>
      </c>
      <c r="V96" s="126"/>
      <c r="W96" s="126"/>
      <c r="X96" s="117" t="s">
        <v>399</v>
      </c>
      <c r="Y96" s="114">
        <v>2</v>
      </c>
      <c r="Z96" s="62"/>
      <c r="AA96" s="79"/>
      <c r="AB96" s="80"/>
      <c r="AC96" s="118"/>
      <c r="AD96" s="250"/>
      <c r="AE96" s="251"/>
      <c r="AF96" s="31"/>
      <c r="AG96" s="81"/>
      <c r="AH96" s="81"/>
      <c r="AI96" s="81"/>
      <c r="AJ96" s="81"/>
      <c r="AK96" s="81"/>
    </row>
    <row r="97" spans="1:37" s="19" customFormat="1" ht="35.25" customHeight="1">
      <c r="A97" s="262"/>
      <c r="B97" s="271"/>
      <c r="C97" s="262"/>
      <c r="D97" s="262">
        <v>64</v>
      </c>
      <c r="E97" s="262">
        <v>602</v>
      </c>
      <c r="F97" s="262">
        <v>355</v>
      </c>
      <c r="G97" s="262" t="s">
        <v>28</v>
      </c>
      <c r="H97" s="264">
        <v>360</v>
      </c>
      <c r="I97" s="273">
        <f>F97-H97</f>
        <v>-5</v>
      </c>
      <c r="J97" s="250"/>
      <c r="K97" s="250"/>
      <c r="L97" s="250"/>
      <c r="M97" s="256"/>
      <c r="N97" s="250"/>
      <c r="O97" s="250"/>
      <c r="P97" s="250"/>
      <c r="Q97" s="250"/>
      <c r="R97" s="250"/>
      <c r="S97" s="250"/>
      <c r="T97" s="250"/>
      <c r="U97" s="65" t="s">
        <v>420</v>
      </c>
      <c r="V97" s="126">
        <v>20</v>
      </c>
      <c r="W97" s="126">
        <f>H97/V97</f>
        <v>18</v>
      </c>
      <c r="X97" s="117" t="s">
        <v>2</v>
      </c>
      <c r="Y97" s="118">
        <v>18</v>
      </c>
      <c r="Z97" s="62"/>
      <c r="AA97" s="79"/>
      <c r="AB97" s="80"/>
      <c r="AC97" s="118"/>
      <c r="AD97" s="250">
        <f>SUM(AC97:AC107)</f>
        <v>48000000</v>
      </c>
      <c r="AE97" s="251"/>
      <c r="AF97" s="31" t="s">
        <v>526</v>
      </c>
      <c r="AG97" s="81"/>
      <c r="AH97" s="81"/>
      <c r="AI97" s="81"/>
      <c r="AJ97" s="81"/>
      <c r="AK97" s="81"/>
    </row>
    <row r="98" spans="1:37" s="19" customFormat="1" ht="22.5" customHeight="1">
      <c r="A98" s="262"/>
      <c r="B98" s="271"/>
      <c r="C98" s="262"/>
      <c r="D98" s="262"/>
      <c r="E98" s="262"/>
      <c r="F98" s="262"/>
      <c r="G98" s="262"/>
      <c r="H98" s="264"/>
      <c r="I98" s="273"/>
      <c r="J98" s="250"/>
      <c r="K98" s="250"/>
      <c r="L98" s="250"/>
      <c r="M98" s="256"/>
      <c r="N98" s="250"/>
      <c r="O98" s="250"/>
      <c r="P98" s="250"/>
      <c r="Q98" s="250"/>
      <c r="R98" s="250"/>
      <c r="S98" s="250"/>
      <c r="T98" s="250"/>
      <c r="U98" s="67" t="s">
        <v>421</v>
      </c>
      <c r="V98" s="126"/>
      <c r="W98" s="126"/>
      <c r="X98" s="117" t="s">
        <v>2</v>
      </c>
      <c r="Y98" s="118">
        <v>18</v>
      </c>
      <c r="Z98" s="62">
        <v>2500000</v>
      </c>
      <c r="AA98" s="79"/>
      <c r="AB98" s="80">
        <v>1</v>
      </c>
      <c r="AC98" s="118">
        <f>Y98*Z98*AB98</f>
        <v>45000000</v>
      </c>
      <c r="AD98" s="250"/>
      <c r="AE98" s="251"/>
      <c r="AF98" s="31"/>
      <c r="AG98" s="81"/>
      <c r="AH98" s="81"/>
      <c r="AI98" s="81"/>
      <c r="AJ98" s="81"/>
      <c r="AK98" s="81"/>
    </row>
    <row r="99" spans="1:37" s="19" customFormat="1" ht="36.75" customHeight="1">
      <c r="A99" s="262"/>
      <c r="B99" s="271"/>
      <c r="C99" s="262"/>
      <c r="D99" s="262"/>
      <c r="E99" s="262"/>
      <c r="F99" s="262"/>
      <c r="G99" s="262"/>
      <c r="H99" s="264"/>
      <c r="I99" s="273"/>
      <c r="J99" s="250"/>
      <c r="K99" s="250"/>
      <c r="L99" s="250"/>
      <c r="M99" s="256"/>
      <c r="N99" s="250"/>
      <c r="O99" s="250"/>
      <c r="P99" s="250"/>
      <c r="Q99" s="250"/>
      <c r="R99" s="250"/>
      <c r="S99" s="250"/>
      <c r="T99" s="250"/>
      <c r="U99" s="65" t="s">
        <v>527</v>
      </c>
      <c r="V99" s="126">
        <v>25</v>
      </c>
      <c r="W99" s="126">
        <f>H97/V99</f>
        <v>14.4</v>
      </c>
      <c r="X99" s="117" t="s">
        <v>2</v>
      </c>
      <c r="Y99" s="118">
        <v>10</v>
      </c>
      <c r="Z99" s="62"/>
      <c r="AA99" s="84"/>
      <c r="AB99" s="68"/>
      <c r="AC99" s="118"/>
      <c r="AD99" s="250"/>
      <c r="AE99" s="251"/>
      <c r="AF99" s="31"/>
      <c r="AG99" s="81"/>
      <c r="AH99" s="81"/>
      <c r="AI99" s="81"/>
      <c r="AJ99" s="81"/>
      <c r="AK99" s="81"/>
    </row>
    <row r="100" spans="1:37" s="19" customFormat="1" ht="23.25" customHeight="1">
      <c r="A100" s="262"/>
      <c r="B100" s="271"/>
      <c r="C100" s="262"/>
      <c r="D100" s="262"/>
      <c r="E100" s="262"/>
      <c r="F100" s="262"/>
      <c r="G100" s="262"/>
      <c r="H100" s="264"/>
      <c r="I100" s="273"/>
      <c r="J100" s="250"/>
      <c r="K100" s="250"/>
      <c r="L100" s="250"/>
      <c r="M100" s="256"/>
      <c r="N100" s="250"/>
      <c r="O100" s="250"/>
      <c r="P100" s="250"/>
      <c r="Q100" s="250"/>
      <c r="R100" s="250"/>
      <c r="S100" s="250"/>
      <c r="T100" s="250"/>
      <c r="U100" s="67" t="s">
        <v>421</v>
      </c>
      <c r="V100" s="126"/>
      <c r="W100" s="126"/>
      <c r="X100" s="117" t="s">
        <v>2</v>
      </c>
      <c r="Y100" s="118">
        <v>10</v>
      </c>
      <c r="Z100" s="62">
        <v>1000000</v>
      </c>
      <c r="AA100" s="79"/>
      <c r="AB100" s="80">
        <v>0.3</v>
      </c>
      <c r="AC100" s="118">
        <f t="shared" ref="AC100" si="13">Y100*Z100*AB100</f>
        <v>3000000</v>
      </c>
      <c r="AD100" s="250"/>
      <c r="AE100" s="251"/>
      <c r="AF100" s="31"/>
      <c r="AG100" s="81"/>
      <c r="AH100" s="81"/>
      <c r="AI100" s="81"/>
      <c r="AJ100" s="81"/>
      <c r="AK100" s="81"/>
    </row>
    <row r="101" spans="1:37" s="19" customFormat="1" ht="35.25" customHeight="1">
      <c r="A101" s="262"/>
      <c r="B101" s="271"/>
      <c r="C101" s="262"/>
      <c r="D101" s="262"/>
      <c r="E101" s="262"/>
      <c r="F101" s="262"/>
      <c r="G101" s="262"/>
      <c r="H101" s="264"/>
      <c r="I101" s="273"/>
      <c r="J101" s="250"/>
      <c r="K101" s="250"/>
      <c r="L101" s="250"/>
      <c r="M101" s="256"/>
      <c r="N101" s="250"/>
      <c r="O101" s="250"/>
      <c r="P101" s="250"/>
      <c r="Q101" s="250"/>
      <c r="R101" s="250"/>
      <c r="S101" s="250"/>
      <c r="T101" s="250"/>
      <c r="U101" s="65" t="s">
        <v>528</v>
      </c>
      <c r="V101" s="126"/>
      <c r="W101" s="126"/>
      <c r="X101" s="117" t="s">
        <v>2</v>
      </c>
      <c r="Y101" s="118">
        <v>10</v>
      </c>
      <c r="Z101" s="62"/>
      <c r="AA101" s="79"/>
      <c r="AB101" s="80"/>
      <c r="AC101" s="118"/>
      <c r="AD101" s="250"/>
      <c r="AE101" s="251"/>
      <c r="AF101" s="31"/>
      <c r="AG101" s="81"/>
      <c r="AH101" s="81"/>
      <c r="AI101" s="81"/>
      <c r="AJ101" s="81"/>
      <c r="AK101" s="81"/>
    </row>
    <row r="102" spans="1:37" s="19" customFormat="1" ht="23.25" customHeight="1">
      <c r="A102" s="262"/>
      <c r="B102" s="271"/>
      <c r="C102" s="262"/>
      <c r="D102" s="262"/>
      <c r="E102" s="262"/>
      <c r="F102" s="262"/>
      <c r="G102" s="262"/>
      <c r="H102" s="264"/>
      <c r="I102" s="273"/>
      <c r="J102" s="250"/>
      <c r="K102" s="250"/>
      <c r="L102" s="250"/>
      <c r="M102" s="256"/>
      <c r="N102" s="250"/>
      <c r="O102" s="250"/>
      <c r="P102" s="250"/>
      <c r="Q102" s="250"/>
      <c r="R102" s="250"/>
      <c r="S102" s="250"/>
      <c r="T102" s="250"/>
      <c r="U102" s="67" t="s">
        <v>486</v>
      </c>
      <c r="V102" s="126"/>
      <c r="W102" s="126"/>
      <c r="X102" s="117" t="s">
        <v>2</v>
      </c>
      <c r="Y102" s="118">
        <v>10</v>
      </c>
      <c r="Z102" s="62">
        <v>500000</v>
      </c>
      <c r="AA102" s="79"/>
      <c r="AB102" s="80">
        <v>0</v>
      </c>
      <c r="AC102" s="118">
        <f t="shared" ref="AC102" si="14">Y102*Z102*AB102</f>
        <v>0</v>
      </c>
      <c r="AD102" s="250"/>
      <c r="AE102" s="251"/>
      <c r="AF102" s="31"/>
      <c r="AG102" s="81"/>
      <c r="AH102" s="81"/>
      <c r="AI102" s="81"/>
      <c r="AJ102" s="81"/>
      <c r="AK102" s="81"/>
    </row>
    <row r="103" spans="1:37" s="19" customFormat="1" ht="37.5" customHeight="1">
      <c r="A103" s="262"/>
      <c r="B103" s="271"/>
      <c r="C103" s="262"/>
      <c r="D103" s="262"/>
      <c r="E103" s="262"/>
      <c r="F103" s="262"/>
      <c r="G103" s="262"/>
      <c r="H103" s="264"/>
      <c r="I103" s="273"/>
      <c r="J103" s="250"/>
      <c r="K103" s="250"/>
      <c r="L103" s="250"/>
      <c r="M103" s="256"/>
      <c r="N103" s="250"/>
      <c r="O103" s="250"/>
      <c r="P103" s="250"/>
      <c r="Q103" s="250"/>
      <c r="R103" s="250"/>
      <c r="S103" s="250"/>
      <c r="T103" s="250"/>
      <c r="U103" s="65" t="s">
        <v>529</v>
      </c>
      <c r="V103" s="126"/>
      <c r="W103" s="126"/>
      <c r="X103" s="117" t="s">
        <v>2</v>
      </c>
      <c r="Y103" s="118">
        <v>10</v>
      </c>
      <c r="Z103" s="62"/>
      <c r="AA103" s="84"/>
      <c r="AB103" s="68"/>
      <c r="AC103" s="118"/>
      <c r="AD103" s="250"/>
      <c r="AE103" s="251"/>
      <c r="AF103" s="31"/>
      <c r="AG103" s="81"/>
      <c r="AH103" s="81"/>
      <c r="AI103" s="81"/>
      <c r="AJ103" s="81"/>
      <c r="AK103" s="81"/>
    </row>
    <row r="104" spans="1:37" s="19" customFormat="1" ht="23.25" customHeight="1">
      <c r="A104" s="262"/>
      <c r="B104" s="271"/>
      <c r="C104" s="262"/>
      <c r="D104" s="262"/>
      <c r="E104" s="262"/>
      <c r="F104" s="262"/>
      <c r="G104" s="262"/>
      <c r="H104" s="264"/>
      <c r="I104" s="273"/>
      <c r="J104" s="250"/>
      <c r="K104" s="250"/>
      <c r="L104" s="250"/>
      <c r="M104" s="256"/>
      <c r="N104" s="250"/>
      <c r="O104" s="250"/>
      <c r="P104" s="250"/>
      <c r="Q104" s="250"/>
      <c r="R104" s="250"/>
      <c r="S104" s="250"/>
      <c r="T104" s="250"/>
      <c r="U104" s="67" t="s">
        <v>486</v>
      </c>
      <c r="V104" s="126"/>
      <c r="W104" s="126"/>
      <c r="X104" s="117" t="s">
        <v>2</v>
      </c>
      <c r="Y104" s="118">
        <v>100</v>
      </c>
      <c r="Z104" s="62">
        <v>190000</v>
      </c>
      <c r="AA104" s="79"/>
      <c r="AB104" s="80">
        <v>0</v>
      </c>
      <c r="AC104" s="118">
        <f t="shared" ref="AC104" si="15">Y104*Z104*AB104</f>
        <v>0</v>
      </c>
      <c r="AD104" s="250"/>
      <c r="AE104" s="251"/>
      <c r="AF104" s="31"/>
      <c r="AG104" s="81"/>
      <c r="AH104" s="81"/>
      <c r="AI104" s="81"/>
      <c r="AJ104" s="81"/>
      <c r="AK104" s="81"/>
    </row>
    <row r="105" spans="1:37" s="19" customFormat="1" ht="53.25" customHeight="1">
      <c r="A105" s="262"/>
      <c r="B105" s="271"/>
      <c r="C105" s="262"/>
      <c r="D105" s="262"/>
      <c r="E105" s="262"/>
      <c r="F105" s="262"/>
      <c r="G105" s="262"/>
      <c r="H105" s="264"/>
      <c r="I105" s="273"/>
      <c r="J105" s="250"/>
      <c r="K105" s="250"/>
      <c r="L105" s="250"/>
      <c r="M105" s="256"/>
      <c r="N105" s="250"/>
      <c r="O105" s="250"/>
      <c r="P105" s="250"/>
      <c r="Q105" s="250"/>
      <c r="R105" s="250"/>
      <c r="S105" s="250"/>
      <c r="T105" s="250"/>
      <c r="U105" s="120" t="s">
        <v>470</v>
      </c>
      <c r="V105" s="126"/>
      <c r="W105" s="126"/>
      <c r="X105" s="117" t="s">
        <v>6</v>
      </c>
      <c r="Y105" s="114">
        <v>181.5</v>
      </c>
      <c r="Z105" s="62"/>
      <c r="AA105" s="79"/>
      <c r="AB105" s="80"/>
      <c r="AC105" s="118"/>
      <c r="AD105" s="250"/>
      <c r="AE105" s="251"/>
      <c r="AF105" s="31"/>
      <c r="AG105" s="81"/>
      <c r="AH105" s="81"/>
      <c r="AI105" s="81"/>
      <c r="AJ105" s="81"/>
      <c r="AK105" s="81"/>
    </row>
    <row r="106" spans="1:37" s="19" customFormat="1" ht="48" customHeight="1">
      <c r="A106" s="262"/>
      <c r="B106" s="271"/>
      <c r="C106" s="262"/>
      <c r="D106" s="262"/>
      <c r="E106" s="262"/>
      <c r="F106" s="262"/>
      <c r="G106" s="262"/>
      <c r="H106" s="264"/>
      <c r="I106" s="273"/>
      <c r="J106" s="250"/>
      <c r="K106" s="250"/>
      <c r="L106" s="250"/>
      <c r="M106" s="256"/>
      <c r="N106" s="250"/>
      <c r="O106" s="250"/>
      <c r="P106" s="250"/>
      <c r="Q106" s="250"/>
      <c r="R106" s="250"/>
      <c r="S106" s="250"/>
      <c r="T106" s="250"/>
      <c r="U106" s="124" t="s">
        <v>508</v>
      </c>
      <c r="V106" s="126"/>
      <c r="W106" s="126"/>
      <c r="X106" s="117" t="s">
        <v>6</v>
      </c>
      <c r="Y106" s="114">
        <v>6</v>
      </c>
      <c r="Z106" s="62"/>
      <c r="AA106" s="79"/>
      <c r="AB106" s="80"/>
      <c r="AC106" s="118"/>
      <c r="AD106" s="250"/>
      <c r="AE106" s="251"/>
      <c r="AF106" s="31"/>
      <c r="AG106" s="81"/>
      <c r="AH106" s="81"/>
      <c r="AI106" s="81"/>
      <c r="AJ106" s="81"/>
      <c r="AK106" s="81"/>
    </row>
    <row r="107" spans="1:37" s="19" customFormat="1" ht="23.25" customHeight="1">
      <c r="A107" s="262"/>
      <c r="B107" s="271"/>
      <c r="C107" s="262"/>
      <c r="D107" s="262"/>
      <c r="E107" s="262"/>
      <c r="F107" s="262"/>
      <c r="G107" s="262"/>
      <c r="H107" s="264"/>
      <c r="I107" s="273"/>
      <c r="J107" s="250"/>
      <c r="K107" s="250"/>
      <c r="L107" s="250"/>
      <c r="M107" s="256"/>
      <c r="N107" s="250"/>
      <c r="O107" s="250"/>
      <c r="P107" s="250"/>
      <c r="Q107" s="250"/>
      <c r="R107" s="250"/>
      <c r="S107" s="250"/>
      <c r="T107" s="250"/>
      <c r="U107" s="124" t="s">
        <v>484</v>
      </c>
      <c r="V107" s="126"/>
      <c r="W107" s="126"/>
      <c r="X107" s="117" t="s">
        <v>399</v>
      </c>
      <c r="Y107" s="114">
        <v>1</v>
      </c>
      <c r="Z107" s="62"/>
      <c r="AA107" s="79"/>
      <c r="AB107" s="80"/>
      <c r="AC107" s="118"/>
      <c r="AD107" s="250"/>
      <c r="AE107" s="251"/>
      <c r="AF107" s="31"/>
      <c r="AG107" s="81"/>
      <c r="AH107" s="81"/>
      <c r="AI107" s="81"/>
      <c r="AJ107" s="81"/>
      <c r="AK107" s="81"/>
    </row>
    <row r="108" spans="1:37" s="20" customFormat="1" ht="30.75" customHeight="1">
      <c r="A108" s="262">
        <v>14</v>
      </c>
      <c r="B108" s="271" t="s">
        <v>531</v>
      </c>
      <c r="C108" s="271" t="s">
        <v>412</v>
      </c>
      <c r="D108" s="258">
        <v>64</v>
      </c>
      <c r="E108" s="258">
        <v>598</v>
      </c>
      <c r="F108" s="258">
        <v>356.8</v>
      </c>
      <c r="G108" s="258" t="s">
        <v>28</v>
      </c>
      <c r="H108" s="250">
        <v>360</v>
      </c>
      <c r="I108" s="256">
        <f>F108-H108</f>
        <v>-3.1999999999999886</v>
      </c>
      <c r="J108" s="250">
        <v>360</v>
      </c>
      <c r="K108" s="250">
        <v>360</v>
      </c>
      <c r="L108" s="250">
        <v>450</v>
      </c>
      <c r="M108" s="272">
        <f>J108/K108*100</f>
        <v>100</v>
      </c>
      <c r="N108" s="250">
        <v>12</v>
      </c>
      <c r="O108" s="250">
        <v>2</v>
      </c>
      <c r="P108" s="250">
        <v>80000</v>
      </c>
      <c r="Q108" s="250">
        <f>P108*J108</f>
        <v>28800000</v>
      </c>
      <c r="R108" s="250">
        <f>Q108*3</f>
        <v>86400000</v>
      </c>
      <c r="S108" s="250">
        <f>N108*O108*17000*30</f>
        <v>12240000</v>
      </c>
      <c r="T108" s="250">
        <f>SUM(Q108:S118)</f>
        <v>127440000</v>
      </c>
      <c r="U108" s="65" t="s">
        <v>457</v>
      </c>
      <c r="V108" s="126">
        <v>25</v>
      </c>
      <c r="W108" s="126">
        <f>(J108-Y116)/V108</f>
        <v>14.175999999999998</v>
      </c>
      <c r="X108" s="117" t="s">
        <v>2</v>
      </c>
      <c r="Y108" s="118">
        <v>10</v>
      </c>
      <c r="Z108" s="62"/>
      <c r="AA108" s="79"/>
      <c r="AB108" s="80"/>
      <c r="AC108" s="118"/>
      <c r="AD108" s="250">
        <f>SUM(AC108:AC118)</f>
        <v>50050000</v>
      </c>
      <c r="AE108" s="251">
        <f>T108+AD108</f>
        <v>177490000</v>
      </c>
      <c r="AF108" s="31" t="s">
        <v>452</v>
      </c>
      <c r="AG108" s="29"/>
      <c r="AH108" s="29"/>
      <c r="AI108" s="29"/>
      <c r="AJ108" s="29"/>
      <c r="AK108" s="29"/>
    </row>
    <row r="109" spans="1:37" s="20" customFormat="1" ht="22.5" customHeight="1">
      <c r="A109" s="262"/>
      <c r="B109" s="271"/>
      <c r="C109" s="271"/>
      <c r="D109" s="258"/>
      <c r="E109" s="258"/>
      <c r="F109" s="258"/>
      <c r="G109" s="258"/>
      <c r="H109" s="250"/>
      <c r="I109" s="256"/>
      <c r="J109" s="250"/>
      <c r="K109" s="250"/>
      <c r="L109" s="250"/>
      <c r="M109" s="272"/>
      <c r="N109" s="250"/>
      <c r="O109" s="250"/>
      <c r="P109" s="250"/>
      <c r="Q109" s="250"/>
      <c r="R109" s="250"/>
      <c r="S109" s="250"/>
      <c r="T109" s="250"/>
      <c r="U109" s="67" t="s">
        <v>421</v>
      </c>
      <c r="V109" s="126"/>
      <c r="W109" s="126"/>
      <c r="X109" s="117" t="s">
        <v>2</v>
      </c>
      <c r="Y109" s="118">
        <v>10</v>
      </c>
      <c r="Z109" s="62">
        <v>4500000</v>
      </c>
      <c r="AA109" s="79"/>
      <c r="AB109" s="80">
        <v>1</v>
      </c>
      <c r="AC109" s="118">
        <f>Y109*Z109*AB109</f>
        <v>45000000</v>
      </c>
      <c r="AD109" s="250"/>
      <c r="AE109" s="251"/>
      <c r="AF109" s="31"/>
      <c r="AG109" s="29"/>
      <c r="AH109" s="29"/>
      <c r="AI109" s="29"/>
      <c r="AJ109" s="29"/>
      <c r="AK109" s="29"/>
    </row>
    <row r="110" spans="1:37" s="20" customFormat="1" ht="31.5">
      <c r="A110" s="262"/>
      <c r="B110" s="271"/>
      <c r="C110" s="271"/>
      <c r="D110" s="258"/>
      <c r="E110" s="258"/>
      <c r="F110" s="258"/>
      <c r="G110" s="258"/>
      <c r="H110" s="250"/>
      <c r="I110" s="256"/>
      <c r="J110" s="250"/>
      <c r="K110" s="250"/>
      <c r="L110" s="250"/>
      <c r="M110" s="272"/>
      <c r="N110" s="250"/>
      <c r="O110" s="250"/>
      <c r="P110" s="250"/>
      <c r="Q110" s="250"/>
      <c r="R110" s="250"/>
      <c r="S110" s="250"/>
      <c r="T110" s="250"/>
      <c r="U110" s="65" t="s">
        <v>527</v>
      </c>
      <c r="V110" s="126">
        <v>25</v>
      </c>
      <c r="W110" s="126">
        <f>(J108-Y116)/V110</f>
        <v>14.175999999999998</v>
      </c>
      <c r="X110" s="117" t="s">
        <v>2</v>
      </c>
      <c r="Y110" s="118">
        <v>8</v>
      </c>
      <c r="Z110" s="62"/>
      <c r="AA110" s="84"/>
      <c r="AB110" s="68"/>
      <c r="AC110" s="118"/>
      <c r="AD110" s="250"/>
      <c r="AE110" s="251"/>
      <c r="AF110" s="31"/>
      <c r="AG110" s="29"/>
      <c r="AH110" s="29"/>
      <c r="AI110" s="29"/>
      <c r="AJ110" s="29"/>
      <c r="AK110" s="29"/>
    </row>
    <row r="111" spans="1:37" s="20" customFormat="1" ht="21.75" customHeight="1">
      <c r="A111" s="262"/>
      <c r="B111" s="271"/>
      <c r="C111" s="271"/>
      <c r="D111" s="258"/>
      <c r="E111" s="258"/>
      <c r="F111" s="258"/>
      <c r="G111" s="258"/>
      <c r="H111" s="250"/>
      <c r="I111" s="256"/>
      <c r="J111" s="250"/>
      <c r="K111" s="250"/>
      <c r="L111" s="250"/>
      <c r="M111" s="272"/>
      <c r="N111" s="250"/>
      <c r="O111" s="250"/>
      <c r="P111" s="250"/>
      <c r="Q111" s="250"/>
      <c r="R111" s="250"/>
      <c r="S111" s="250"/>
      <c r="T111" s="250"/>
      <c r="U111" s="67" t="s">
        <v>421</v>
      </c>
      <c r="V111" s="126"/>
      <c r="W111" s="126"/>
      <c r="X111" s="117" t="s">
        <v>2</v>
      </c>
      <c r="Y111" s="118">
        <v>8</v>
      </c>
      <c r="Z111" s="62">
        <v>1000000</v>
      </c>
      <c r="AA111" s="79"/>
      <c r="AB111" s="80">
        <v>0.5</v>
      </c>
      <c r="AC111" s="118">
        <f t="shared" ref="AC111" si="16">Y111*Z111*AB111</f>
        <v>4000000</v>
      </c>
      <c r="AD111" s="250"/>
      <c r="AE111" s="251"/>
      <c r="AF111" s="31"/>
      <c r="AG111" s="29"/>
      <c r="AH111" s="29"/>
      <c r="AI111" s="29"/>
      <c r="AJ111" s="29"/>
      <c r="AK111" s="29"/>
    </row>
    <row r="112" spans="1:37" s="20" customFormat="1" ht="35.25" customHeight="1">
      <c r="A112" s="262"/>
      <c r="B112" s="271"/>
      <c r="C112" s="271"/>
      <c r="D112" s="258"/>
      <c r="E112" s="258"/>
      <c r="F112" s="258"/>
      <c r="G112" s="258"/>
      <c r="H112" s="250"/>
      <c r="I112" s="256"/>
      <c r="J112" s="250"/>
      <c r="K112" s="250"/>
      <c r="L112" s="250"/>
      <c r="M112" s="272"/>
      <c r="N112" s="250"/>
      <c r="O112" s="250"/>
      <c r="P112" s="250"/>
      <c r="Q112" s="250"/>
      <c r="R112" s="250"/>
      <c r="S112" s="250"/>
      <c r="T112" s="250"/>
      <c r="U112" s="65" t="s">
        <v>533</v>
      </c>
      <c r="V112" s="126">
        <v>10</v>
      </c>
      <c r="W112" s="126">
        <f>(J108-Y116)/V112</f>
        <v>35.44</v>
      </c>
      <c r="X112" s="117" t="s">
        <v>2</v>
      </c>
      <c r="Y112" s="118">
        <v>2</v>
      </c>
      <c r="Z112" s="62"/>
      <c r="AA112" s="79"/>
      <c r="AB112" s="80"/>
      <c r="AC112" s="118"/>
      <c r="AD112" s="250"/>
      <c r="AE112" s="251"/>
      <c r="AF112" s="31"/>
      <c r="AG112" s="29"/>
      <c r="AH112" s="29"/>
      <c r="AI112" s="29"/>
      <c r="AJ112" s="29"/>
      <c r="AK112" s="29"/>
    </row>
    <row r="113" spans="1:37" s="20" customFormat="1" ht="23.25" customHeight="1">
      <c r="A113" s="262"/>
      <c r="B113" s="271"/>
      <c r="C113" s="271"/>
      <c r="D113" s="258"/>
      <c r="E113" s="258"/>
      <c r="F113" s="258"/>
      <c r="G113" s="258"/>
      <c r="H113" s="250"/>
      <c r="I113" s="256"/>
      <c r="J113" s="250"/>
      <c r="K113" s="250"/>
      <c r="L113" s="250"/>
      <c r="M113" s="272"/>
      <c r="N113" s="250"/>
      <c r="O113" s="250"/>
      <c r="P113" s="250"/>
      <c r="Q113" s="250"/>
      <c r="R113" s="250"/>
      <c r="S113" s="250"/>
      <c r="T113" s="250"/>
      <c r="U113" s="67" t="s">
        <v>421</v>
      </c>
      <c r="V113" s="126"/>
      <c r="W113" s="126"/>
      <c r="X113" s="117" t="s">
        <v>2</v>
      </c>
      <c r="Y113" s="118">
        <v>2</v>
      </c>
      <c r="Z113" s="62">
        <v>200000</v>
      </c>
      <c r="AA113" s="79"/>
      <c r="AB113" s="80">
        <v>0.5</v>
      </c>
      <c r="AC113" s="118">
        <f t="shared" ref="AC113" si="17">Y113*Z113*AB113</f>
        <v>200000</v>
      </c>
      <c r="AD113" s="250"/>
      <c r="AE113" s="251"/>
      <c r="AF113" s="31"/>
      <c r="AG113" s="29"/>
      <c r="AH113" s="29"/>
      <c r="AI113" s="29"/>
      <c r="AJ113" s="29"/>
      <c r="AK113" s="29"/>
    </row>
    <row r="114" spans="1:37" s="20" customFormat="1" ht="31.5">
      <c r="A114" s="262"/>
      <c r="B114" s="271"/>
      <c r="C114" s="271"/>
      <c r="D114" s="258"/>
      <c r="E114" s="258"/>
      <c r="F114" s="258"/>
      <c r="G114" s="258"/>
      <c r="H114" s="250"/>
      <c r="I114" s="256"/>
      <c r="J114" s="250"/>
      <c r="K114" s="250"/>
      <c r="L114" s="250"/>
      <c r="M114" s="272"/>
      <c r="N114" s="250"/>
      <c r="O114" s="250"/>
      <c r="P114" s="250"/>
      <c r="Q114" s="250"/>
      <c r="R114" s="250"/>
      <c r="S114" s="250"/>
      <c r="T114" s="250"/>
      <c r="U114" s="65" t="s">
        <v>534</v>
      </c>
      <c r="V114" s="126">
        <v>28.57</v>
      </c>
      <c r="W114" s="126">
        <f>(J108-Y116)/V114</f>
        <v>12.404620231011549</v>
      </c>
      <c r="X114" s="117" t="s">
        <v>2</v>
      </c>
      <c r="Y114" s="118">
        <v>2</v>
      </c>
      <c r="Z114" s="62"/>
      <c r="AA114" s="84"/>
      <c r="AB114" s="68"/>
      <c r="AC114" s="118"/>
      <c r="AD114" s="250"/>
      <c r="AE114" s="251"/>
      <c r="AF114" s="31"/>
      <c r="AG114" s="29"/>
      <c r="AH114" s="29"/>
      <c r="AI114" s="29"/>
      <c r="AJ114" s="29"/>
      <c r="AK114" s="29"/>
    </row>
    <row r="115" spans="1:37" s="20" customFormat="1" ht="21" customHeight="1">
      <c r="A115" s="262"/>
      <c r="B115" s="271"/>
      <c r="C115" s="271"/>
      <c r="D115" s="258"/>
      <c r="E115" s="258"/>
      <c r="F115" s="258"/>
      <c r="G115" s="258"/>
      <c r="H115" s="250"/>
      <c r="I115" s="256"/>
      <c r="J115" s="250"/>
      <c r="K115" s="250"/>
      <c r="L115" s="250"/>
      <c r="M115" s="272"/>
      <c r="N115" s="250"/>
      <c r="O115" s="250"/>
      <c r="P115" s="250"/>
      <c r="Q115" s="250"/>
      <c r="R115" s="250"/>
      <c r="S115" s="250"/>
      <c r="T115" s="250"/>
      <c r="U115" s="67" t="s">
        <v>421</v>
      </c>
      <c r="V115" s="126"/>
      <c r="W115" s="126"/>
      <c r="X115" s="117" t="s">
        <v>2</v>
      </c>
      <c r="Y115" s="118">
        <v>2</v>
      </c>
      <c r="Z115" s="62">
        <v>850000</v>
      </c>
      <c r="AA115" s="79"/>
      <c r="AB115" s="80">
        <v>0.5</v>
      </c>
      <c r="AC115" s="118">
        <f t="shared" ref="AC115" si="18">Y115*Z115*AB115</f>
        <v>850000</v>
      </c>
      <c r="AD115" s="250"/>
      <c r="AE115" s="251"/>
      <c r="AF115" s="31"/>
      <c r="AG115" s="29"/>
      <c r="AH115" s="29"/>
      <c r="AI115" s="29"/>
      <c r="AJ115" s="29"/>
      <c r="AK115" s="29"/>
    </row>
    <row r="116" spans="1:37" s="20" customFormat="1" ht="21" customHeight="1">
      <c r="A116" s="262"/>
      <c r="B116" s="271"/>
      <c r="C116" s="271"/>
      <c r="D116" s="258"/>
      <c r="E116" s="258"/>
      <c r="F116" s="258"/>
      <c r="G116" s="258"/>
      <c r="H116" s="250"/>
      <c r="I116" s="256"/>
      <c r="J116" s="250"/>
      <c r="K116" s="250"/>
      <c r="L116" s="250"/>
      <c r="M116" s="272"/>
      <c r="N116" s="250"/>
      <c r="O116" s="250"/>
      <c r="P116" s="250"/>
      <c r="Q116" s="250"/>
      <c r="R116" s="250"/>
      <c r="S116" s="250"/>
      <c r="T116" s="250"/>
      <c r="U116" s="120" t="s">
        <v>535</v>
      </c>
      <c r="V116" s="126"/>
      <c r="W116" s="126"/>
      <c r="X116" s="117" t="s">
        <v>0</v>
      </c>
      <c r="Y116" s="114">
        <v>5.6</v>
      </c>
      <c r="Z116" s="62"/>
      <c r="AA116" s="79"/>
      <c r="AB116" s="80"/>
      <c r="AC116" s="118"/>
      <c r="AD116" s="250"/>
      <c r="AE116" s="251"/>
      <c r="AF116" s="31"/>
      <c r="AG116" s="29"/>
      <c r="AH116" s="29"/>
      <c r="AI116" s="29"/>
      <c r="AJ116" s="29"/>
      <c r="AK116" s="29"/>
    </row>
    <row r="117" spans="1:37" s="20" customFormat="1" ht="58.5" customHeight="1">
      <c r="A117" s="262"/>
      <c r="B117" s="271"/>
      <c r="C117" s="271"/>
      <c r="D117" s="258"/>
      <c r="E117" s="258"/>
      <c r="F117" s="258"/>
      <c r="G117" s="258"/>
      <c r="H117" s="250"/>
      <c r="I117" s="256"/>
      <c r="J117" s="250"/>
      <c r="K117" s="250"/>
      <c r="L117" s="250"/>
      <c r="M117" s="272"/>
      <c r="N117" s="250"/>
      <c r="O117" s="250"/>
      <c r="P117" s="250"/>
      <c r="Q117" s="250"/>
      <c r="R117" s="250"/>
      <c r="S117" s="250"/>
      <c r="T117" s="250"/>
      <c r="U117" s="120" t="s">
        <v>536</v>
      </c>
      <c r="V117" s="126"/>
      <c r="W117" s="126"/>
      <c r="X117" s="117" t="s">
        <v>6</v>
      </c>
      <c r="Y117" s="118">
        <v>4.2</v>
      </c>
      <c r="Z117" s="62"/>
      <c r="AA117" s="79"/>
      <c r="AB117" s="80"/>
      <c r="AC117" s="118"/>
      <c r="AD117" s="250"/>
      <c r="AE117" s="251"/>
      <c r="AF117" s="31"/>
      <c r="AG117" s="29"/>
      <c r="AH117" s="29"/>
      <c r="AI117" s="29"/>
      <c r="AJ117" s="29"/>
      <c r="AK117" s="29"/>
    </row>
    <row r="118" spans="1:37" s="20" customFormat="1" ht="48.75" customHeight="1">
      <c r="A118" s="262"/>
      <c r="B118" s="271"/>
      <c r="C118" s="271"/>
      <c r="D118" s="258"/>
      <c r="E118" s="258"/>
      <c r="F118" s="258"/>
      <c r="G118" s="258"/>
      <c r="H118" s="250"/>
      <c r="I118" s="256"/>
      <c r="J118" s="250"/>
      <c r="K118" s="250"/>
      <c r="L118" s="250"/>
      <c r="M118" s="272"/>
      <c r="N118" s="250"/>
      <c r="O118" s="250"/>
      <c r="P118" s="250"/>
      <c r="Q118" s="250"/>
      <c r="R118" s="250"/>
      <c r="S118" s="250"/>
      <c r="T118" s="250"/>
      <c r="U118" s="124" t="s">
        <v>537</v>
      </c>
      <c r="V118" s="101"/>
      <c r="W118" s="101"/>
      <c r="X118" s="117" t="s">
        <v>6</v>
      </c>
      <c r="Y118" s="101">
        <v>11</v>
      </c>
      <c r="Z118" s="100"/>
      <c r="AA118" s="84"/>
      <c r="AB118" s="117"/>
      <c r="AC118" s="118"/>
      <c r="AD118" s="250"/>
      <c r="AE118" s="251"/>
      <c r="AF118" s="31"/>
      <c r="AG118" s="29"/>
      <c r="AH118" s="29"/>
      <c r="AI118" s="29"/>
      <c r="AJ118" s="29"/>
      <c r="AK118" s="29"/>
    </row>
    <row r="119" spans="1:37" s="20" customFormat="1" ht="31.5" customHeight="1">
      <c r="A119" s="262">
        <v>15</v>
      </c>
      <c r="B119" s="271" t="s">
        <v>404</v>
      </c>
      <c r="C119" s="271" t="s">
        <v>412</v>
      </c>
      <c r="D119" s="258">
        <v>64</v>
      </c>
      <c r="E119" s="258">
        <v>482</v>
      </c>
      <c r="F119" s="258">
        <v>179.9</v>
      </c>
      <c r="G119" s="258" t="s">
        <v>28</v>
      </c>
      <c r="H119" s="250">
        <v>180</v>
      </c>
      <c r="I119" s="256">
        <f>F119-H119</f>
        <v>-9.9999999999994316E-2</v>
      </c>
      <c r="J119" s="250">
        <v>180</v>
      </c>
      <c r="K119" s="250">
        <v>702</v>
      </c>
      <c r="L119" s="250">
        <v>450</v>
      </c>
      <c r="M119" s="272">
        <f>J119/K119*100</f>
        <v>25.641025641025639</v>
      </c>
      <c r="N119" s="250">
        <v>5</v>
      </c>
      <c r="O119" s="250">
        <v>2</v>
      </c>
      <c r="P119" s="250">
        <v>80000</v>
      </c>
      <c r="Q119" s="250">
        <f>P119*J119</f>
        <v>14400000</v>
      </c>
      <c r="R119" s="250">
        <f>Q119*3</f>
        <v>43200000</v>
      </c>
      <c r="S119" s="250">
        <f>N119*O119*17000*30</f>
        <v>5100000</v>
      </c>
      <c r="T119" s="250">
        <f>SUM(Q119:S122)</f>
        <v>62700000</v>
      </c>
      <c r="U119" s="65" t="s">
        <v>545</v>
      </c>
      <c r="V119" s="126">
        <v>25</v>
      </c>
      <c r="W119" s="126">
        <f>J119/V119</f>
        <v>7.2</v>
      </c>
      <c r="X119" s="117" t="s">
        <v>2</v>
      </c>
      <c r="Y119" s="118">
        <v>7</v>
      </c>
      <c r="Z119" s="62"/>
      <c r="AA119" s="84"/>
      <c r="AB119" s="68"/>
      <c r="AC119" s="118"/>
      <c r="AD119" s="250">
        <f>SUM(AC119:AC122)</f>
        <v>27370000</v>
      </c>
      <c r="AE119" s="251">
        <f>T119+AD119</f>
        <v>90070000</v>
      </c>
      <c r="AF119" s="31" t="s">
        <v>546</v>
      </c>
      <c r="AG119" s="29"/>
      <c r="AH119" s="29"/>
      <c r="AI119" s="29"/>
      <c r="AJ119" s="29"/>
      <c r="AK119" s="29"/>
    </row>
    <row r="120" spans="1:37" s="20" customFormat="1" ht="22.5" customHeight="1">
      <c r="A120" s="262"/>
      <c r="B120" s="271"/>
      <c r="C120" s="271"/>
      <c r="D120" s="258"/>
      <c r="E120" s="258"/>
      <c r="F120" s="258"/>
      <c r="G120" s="258"/>
      <c r="H120" s="250"/>
      <c r="I120" s="256"/>
      <c r="J120" s="250"/>
      <c r="K120" s="250"/>
      <c r="L120" s="250"/>
      <c r="M120" s="272"/>
      <c r="N120" s="250"/>
      <c r="O120" s="250"/>
      <c r="P120" s="250"/>
      <c r="Q120" s="250"/>
      <c r="R120" s="250"/>
      <c r="S120" s="250"/>
      <c r="T120" s="250"/>
      <c r="U120" s="67" t="s">
        <v>421</v>
      </c>
      <c r="V120" s="126"/>
      <c r="W120" s="126"/>
      <c r="X120" s="117" t="s">
        <v>2</v>
      </c>
      <c r="Y120" s="118">
        <v>7</v>
      </c>
      <c r="Z120" s="62">
        <v>3850000</v>
      </c>
      <c r="AA120" s="79"/>
      <c r="AB120" s="80">
        <v>1</v>
      </c>
      <c r="AC120" s="118">
        <f t="shared" ref="AC120" si="19">Y120*Z120*AB120</f>
        <v>26950000</v>
      </c>
      <c r="AD120" s="250"/>
      <c r="AE120" s="251"/>
      <c r="AF120" s="31"/>
      <c r="AG120" s="29"/>
      <c r="AH120" s="29"/>
      <c r="AI120" s="29"/>
      <c r="AJ120" s="29"/>
      <c r="AK120" s="29"/>
    </row>
    <row r="121" spans="1:37" s="20" customFormat="1" ht="31.5">
      <c r="A121" s="262"/>
      <c r="B121" s="271"/>
      <c r="C121" s="271"/>
      <c r="D121" s="258"/>
      <c r="E121" s="258"/>
      <c r="F121" s="258"/>
      <c r="G121" s="258"/>
      <c r="H121" s="250"/>
      <c r="I121" s="256"/>
      <c r="J121" s="250"/>
      <c r="K121" s="250"/>
      <c r="L121" s="250"/>
      <c r="M121" s="272"/>
      <c r="N121" s="250"/>
      <c r="O121" s="250"/>
      <c r="P121" s="250"/>
      <c r="Q121" s="250"/>
      <c r="R121" s="250"/>
      <c r="S121" s="250"/>
      <c r="T121" s="250"/>
      <c r="U121" s="65" t="s">
        <v>547</v>
      </c>
      <c r="V121" s="126">
        <v>10</v>
      </c>
      <c r="W121" s="126">
        <f>J119/V121</f>
        <v>18</v>
      </c>
      <c r="X121" s="117" t="s">
        <v>396</v>
      </c>
      <c r="Y121" s="118">
        <v>10</v>
      </c>
      <c r="Z121" s="62"/>
      <c r="AA121" s="84"/>
      <c r="AB121" s="68"/>
      <c r="AC121" s="118"/>
      <c r="AD121" s="250"/>
      <c r="AE121" s="251"/>
      <c r="AF121" s="31"/>
      <c r="AG121" s="29"/>
      <c r="AH121" s="29"/>
      <c r="AI121" s="29"/>
      <c r="AJ121" s="29"/>
      <c r="AK121" s="29"/>
    </row>
    <row r="122" spans="1:37" s="20" customFormat="1" ht="21" customHeight="1">
      <c r="A122" s="262"/>
      <c r="B122" s="271"/>
      <c r="C122" s="271"/>
      <c r="D122" s="258"/>
      <c r="E122" s="258"/>
      <c r="F122" s="258"/>
      <c r="G122" s="258"/>
      <c r="H122" s="250"/>
      <c r="I122" s="256"/>
      <c r="J122" s="250"/>
      <c r="K122" s="250"/>
      <c r="L122" s="250"/>
      <c r="M122" s="272"/>
      <c r="N122" s="250"/>
      <c r="O122" s="250"/>
      <c r="P122" s="250"/>
      <c r="Q122" s="250"/>
      <c r="R122" s="250"/>
      <c r="S122" s="250"/>
      <c r="T122" s="250"/>
      <c r="U122" s="67" t="s">
        <v>421</v>
      </c>
      <c r="V122" s="126"/>
      <c r="W122" s="126"/>
      <c r="X122" s="117" t="s">
        <v>396</v>
      </c>
      <c r="Y122" s="118">
        <v>10</v>
      </c>
      <c r="Z122" s="62">
        <v>140000</v>
      </c>
      <c r="AA122" s="84"/>
      <c r="AB122" s="68">
        <v>0.3</v>
      </c>
      <c r="AC122" s="118">
        <f>Y122*Z122*AB122</f>
        <v>420000</v>
      </c>
      <c r="AD122" s="250"/>
      <c r="AE122" s="251"/>
      <c r="AF122" s="31"/>
      <c r="AG122" s="29"/>
      <c r="AH122" s="29"/>
      <c r="AI122" s="29"/>
      <c r="AJ122" s="29"/>
      <c r="AK122" s="29"/>
    </row>
    <row r="123" spans="1:37" s="20" customFormat="1" ht="33.75" customHeight="1">
      <c r="A123" s="262">
        <v>16</v>
      </c>
      <c r="B123" s="271" t="s">
        <v>405</v>
      </c>
      <c r="C123" s="271" t="s">
        <v>412</v>
      </c>
      <c r="D123" s="258">
        <v>64</v>
      </c>
      <c r="E123" s="258">
        <v>496</v>
      </c>
      <c r="F123" s="258">
        <v>1459.3</v>
      </c>
      <c r="G123" s="258" t="s">
        <v>28</v>
      </c>
      <c r="H123" s="250">
        <v>1444.5</v>
      </c>
      <c r="I123" s="256">
        <f>F123-H123</f>
        <v>14.799999999999955</v>
      </c>
      <c r="J123" s="250">
        <v>1444.5</v>
      </c>
      <c r="K123" s="250">
        <v>1800</v>
      </c>
      <c r="L123" s="250">
        <v>450</v>
      </c>
      <c r="M123" s="272">
        <f>J123/K123*100</f>
        <v>80.25</v>
      </c>
      <c r="N123" s="250">
        <v>12</v>
      </c>
      <c r="O123" s="250">
        <v>10</v>
      </c>
      <c r="P123" s="250">
        <v>80000</v>
      </c>
      <c r="Q123" s="250">
        <f>P123*J123</f>
        <v>115560000</v>
      </c>
      <c r="R123" s="250">
        <f>Q123*3</f>
        <v>346680000</v>
      </c>
      <c r="S123" s="250">
        <f>N123*O123*17000*30</f>
        <v>61200000</v>
      </c>
      <c r="T123" s="250">
        <f>SUM(Q123:S139)</f>
        <v>523440000</v>
      </c>
      <c r="U123" s="65" t="s">
        <v>457</v>
      </c>
      <c r="V123" s="126">
        <v>25</v>
      </c>
      <c r="W123" s="126">
        <f>(J123-12)/V123</f>
        <v>57.3</v>
      </c>
      <c r="X123" s="117" t="s">
        <v>2</v>
      </c>
      <c r="Y123" s="118">
        <v>29</v>
      </c>
      <c r="Z123" s="62"/>
      <c r="AA123" s="79"/>
      <c r="AB123" s="80"/>
      <c r="AC123" s="118"/>
      <c r="AD123" s="250">
        <f>SUM(AC123:AC139)</f>
        <v>250705000</v>
      </c>
      <c r="AE123" s="251">
        <f>T123+AD123</f>
        <v>774145000</v>
      </c>
      <c r="AF123" s="31" t="s">
        <v>448</v>
      </c>
      <c r="AG123" s="29"/>
      <c r="AH123" s="29"/>
      <c r="AI123" s="29"/>
      <c r="AJ123" s="29"/>
      <c r="AK123" s="29"/>
    </row>
    <row r="124" spans="1:37" s="20" customFormat="1" ht="21" customHeight="1">
      <c r="A124" s="262"/>
      <c r="B124" s="271"/>
      <c r="C124" s="271"/>
      <c r="D124" s="258"/>
      <c r="E124" s="258"/>
      <c r="F124" s="258"/>
      <c r="G124" s="258"/>
      <c r="H124" s="250"/>
      <c r="I124" s="256"/>
      <c r="J124" s="250"/>
      <c r="K124" s="250"/>
      <c r="L124" s="250"/>
      <c r="M124" s="272"/>
      <c r="N124" s="250"/>
      <c r="O124" s="250"/>
      <c r="P124" s="250"/>
      <c r="Q124" s="250"/>
      <c r="R124" s="250"/>
      <c r="S124" s="250"/>
      <c r="T124" s="250"/>
      <c r="U124" s="67" t="s">
        <v>421</v>
      </c>
      <c r="V124" s="126"/>
      <c r="W124" s="126"/>
      <c r="X124" s="117" t="s">
        <v>2</v>
      </c>
      <c r="Y124" s="118">
        <v>29</v>
      </c>
      <c r="Z124" s="62">
        <v>4500000</v>
      </c>
      <c r="AA124" s="79"/>
      <c r="AB124" s="80">
        <v>1</v>
      </c>
      <c r="AC124" s="118">
        <f>Y124*Z124*AB124</f>
        <v>130500000</v>
      </c>
      <c r="AD124" s="250"/>
      <c r="AE124" s="251"/>
      <c r="AF124" s="31"/>
      <c r="AG124" s="29"/>
      <c r="AH124" s="29"/>
      <c r="AI124" s="29"/>
      <c r="AJ124" s="29"/>
      <c r="AK124" s="29"/>
    </row>
    <row r="125" spans="1:37" s="20" customFormat="1" ht="31.5">
      <c r="A125" s="262"/>
      <c r="B125" s="271"/>
      <c r="C125" s="271"/>
      <c r="D125" s="258"/>
      <c r="E125" s="258"/>
      <c r="F125" s="258"/>
      <c r="G125" s="258"/>
      <c r="H125" s="250"/>
      <c r="I125" s="256"/>
      <c r="J125" s="250"/>
      <c r="K125" s="250"/>
      <c r="L125" s="250"/>
      <c r="M125" s="272"/>
      <c r="N125" s="250"/>
      <c r="O125" s="250"/>
      <c r="P125" s="250"/>
      <c r="Q125" s="250"/>
      <c r="R125" s="250"/>
      <c r="S125" s="250"/>
      <c r="T125" s="250"/>
      <c r="U125" s="65" t="s">
        <v>643</v>
      </c>
      <c r="V125" s="126"/>
      <c r="W125" s="126"/>
      <c r="X125" s="117" t="s">
        <v>2</v>
      </c>
      <c r="Y125" s="118">
        <v>30</v>
      </c>
      <c r="Z125" s="62"/>
      <c r="AA125" s="84"/>
      <c r="AB125" s="68"/>
      <c r="AC125" s="118"/>
      <c r="AD125" s="250"/>
      <c r="AE125" s="251"/>
      <c r="AF125" s="31"/>
      <c r="AG125" s="29"/>
      <c r="AH125" s="29"/>
      <c r="AI125" s="29"/>
      <c r="AJ125" s="29"/>
      <c r="AK125" s="29"/>
    </row>
    <row r="126" spans="1:37" s="20" customFormat="1" ht="21" customHeight="1">
      <c r="A126" s="262"/>
      <c r="B126" s="271"/>
      <c r="C126" s="271"/>
      <c r="D126" s="258"/>
      <c r="E126" s="258"/>
      <c r="F126" s="258"/>
      <c r="G126" s="258"/>
      <c r="H126" s="250"/>
      <c r="I126" s="256"/>
      <c r="J126" s="250"/>
      <c r="K126" s="250"/>
      <c r="L126" s="250"/>
      <c r="M126" s="272"/>
      <c r="N126" s="250"/>
      <c r="O126" s="250"/>
      <c r="P126" s="250"/>
      <c r="Q126" s="250"/>
      <c r="R126" s="250"/>
      <c r="S126" s="250"/>
      <c r="T126" s="250"/>
      <c r="U126" s="67" t="s">
        <v>421</v>
      </c>
      <c r="V126" s="126"/>
      <c r="W126" s="126"/>
      <c r="X126" s="117" t="s">
        <v>2</v>
      </c>
      <c r="Y126" s="118">
        <v>28</v>
      </c>
      <c r="Z126" s="62">
        <v>3850000</v>
      </c>
      <c r="AA126" s="79"/>
      <c r="AB126" s="80">
        <v>1</v>
      </c>
      <c r="AC126" s="118">
        <f t="shared" ref="AC126:AC128" si="20">Y126*Z126*AB126</f>
        <v>107800000</v>
      </c>
      <c r="AD126" s="250"/>
      <c r="AE126" s="251"/>
      <c r="AF126" s="31"/>
      <c r="AG126" s="29"/>
      <c r="AH126" s="29"/>
      <c r="AI126" s="29"/>
      <c r="AJ126" s="29"/>
      <c r="AK126" s="29"/>
    </row>
    <row r="127" spans="1:37" s="20" customFormat="1" ht="21" customHeight="1">
      <c r="A127" s="262"/>
      <c r="B127" s="271"/>
      <c r="C127" s="271"/>
      <c r="D127" s="258"/>
      <c r="E127" s="258"/>
      <c r="F127" s="258"/>
      <c r="G127" s="258"/>
      <c r="H127" s="250"/>
      <c r="I127" s="256"/>
      <c r="J127" s="250"/>
      <c r="K127" s="250"/>
      <c r="L127" s="250"/>
      <c r="M127" s="272"/>
      <c r="N127" s="250"/>
      <c r="O127" s="250"/>
      <c r="P127" s="250"/>
      <c r="Q127" s="250"/>
      <c r="R127" s="250"/>
      <c r="S127" s="250"/>
      <c r="T127" s="250"/>
      <c r="U127" s="67" t="s">
        <v>423</v>
      </c>
      <c r="V127" s="126"/>
      <c r="W127" s="126">
        <f>0.3*2</f>
        <v>0.6</v>
      </c>
      <c r="X127" s="117" t="s">
        <v>2</v>
      </c>
      <c r="Y127" s="118">
        <v>1</v>
      </c>
      <c r="Z127" s="62">
        <v>3850000</v>
      </c>
      <c r="AA127" s="79"/>
      <c r="AB127" s="80">
        <v>0.3</v>
      </c>
      <c r="AC127" s="118">
        <f t="shared" si="20"/>
        <v>1155000</v>
      </c>
      <c r="AD127" s="250"/>
      <c r="AE127" s="251"/>
      <c r="AF127" s="31"/>
      <c r="AG127" s="29"/>
      <c r="AH127" s="29"/>
      <c r="AI127" s="29"/>
      <c r="AJ127" s="29"/>
      <c r="AK127" s="29"/>
    </row>
    <row r="128" spans="1:37" s="20" customFormat="1" ht="21" customHeight="1">
      <c r="A128" s="262"/>
      <c r="B128" s="271"/>
      <c r="C128" s="271"/>
      <c r="D128" s="258"/>
      <c r="E128" s="258"/>
      <c r="F128" s="258"/>
      <c r="G128" s="258"/>
      <c r="H128" s="250"/>
      <c r="I128" s="256"/>
      <c r="J128" s="250"/>
      <c r="K128" s="250"/>
      <c r="L128" s="250"/>
      <c r="M128" s="272"/>
      <c r="N128" s="250"/>
      <c r="O128" s="250"/>
      <c r="P128" s="250"/>
      <c r="Q128" s="250"/>
      <c r="R128" s="250"/>
      <c r="S128" s="250"/>
      <c r="T128" s="250"/>
      <c r="U128" s="67" t="s">
        <v>424</v>
      </c>
      <c r="V128" s="126"/>
      <c r="W128" s="126"/>
      <c r="X128" s="117" t="s">
        <v>2</v>
      </c>
      <c r="Y128" s="118">
        <v>1</v>
      </c>
      <c r="Z128" s="62">
        <v>3850000</v>
      </c>
      <c r="AA128" s="79"/>
      <c r="AB128" s="80">
        <v>0</v>
      </c>
      <c r="AC128" s="118">
        <f t="shared" si="20"/>
        <v>0</v>
      </c>
      <c r="AD128" s="250"/>
      <c r="AE128" s="251"/>
      <c r="AF128" s="31"/>
      <c r="AG128" s="29"/>
      <c r="AH128" s="29"/>
      <c r="AI128" s="29"/>
      <c r="AJ128" s="29"/>
      <c r="AK128" s="29"/>
    </row>
    <row r="129" spans="1:37" s="20" customFormat="1" ht="31.5">
      <c r="A129" s="262"/>
      <c r="B129" s="271"/>
      <c r="C129" s="271"/>
      <c r="D129" s="258"/>
      <c r="E129" s="258"/>
      <c r="F129" s="258"/>
      <c r="G129" s="258"/>
      <c r="H129" s="250"/>
      <c r="I129" s="256"/>
      <c r="J129" s="250"/>
      <c r="K129" s="250"/>
      <c r="L129" s="250"/>
      <c r="M129" s="272"/>
      <c r="N129" s="250"/>
      <c r="O129" s="250"/>
      <c r="P129" s="250"/>
      <c r="Q129" s="250"/>
      <c r="R129" s="250"/>
      <c r="S129" s="250"/>
      <c r="T129" s="250"/>
      <c r="U129" s="65" t="s">
        <v>468</v>
      </c>
      <c r="V129" s="126">
        <v>20</v>
      </c>
      <c r="W129" s="126">
        <f>(J123-12)/V129</f>
        <v>71.625</v>
      </c>
      <c r="X129" s="117" t="s">
        <v>2</v>
      </c>
      <c r="Y129" s="118">
        <v>15</v>
      </c>
      <c r="Z129" s="62"/>
      <c r="AA129" s="79"/>
      <c r="AB129" s="80"/>
      <c r="AC129" s="118"/>
      <c r="AD129" s="250"/>
      <c r="AE129" s="251"/>
      <c r="AF129" s="31"/>
      <c r="AG129" s="29"/>
      <c r="AH129" s="29"/>
      <c r="AI129" s="29"/>
      <c r="AJ129" s="29"/>
      <c r="AK129" s="29"/>
    </row>
    <row r="130" spans="1:37" s="20" customFormat="1" ht="40.5" customHeight="1">
      <c r="A130" s="262"/>
      <c r="B130" s="271"/>
      <c r="C130" s="271"/>
      <c r="D130" s="258"/>
      <c r="E130" s="258"/>
      <c r="F130" s="258"/>
      <c r="G130" s="258"/>
      <c r="H130" s="250"/>
      <c r="I130" s="256"/>
      <c r="J130" s="250"/>
      <c r="K130" s="250"/>
      <c r="L130" s="250"/>
      <c r="M130" s="272"/>
      <c r="N130" s="250"/>
      <c r="O130" s="250"/>
      <c r="P130" s="250"/>
      <c r="Q130" s="250"/>
      <c r="R130" s="250"/>
      <c r="S130" s="250"/>
      <c r="T130" s="250"/>
      <c r="U130" s="67" t="s">
        <v>497</v>
      </c>
      <c r="V130" s="126"/>
      <c r="W130" s="126">
        <f>0.3*W129</f>
        <v>21.487500000000001</v>
      </c>
      <c r="X130" s="117" t="s">
        <v>2</v>
      </c>
      <c r="Y130" s="118">
        <v>15</v>
      </c>
      <c r="Z130" s="62">
        <v>2500000</v>
      </c>
      <c r="AA130" s="79"/>
      <c r="AB130" s="80">
        <v>0.3</v>
      </c>
      <c r="AC130" s="118">
        <f>Y130*Z130*AB130</f>
        <v>11250000</v>
      </c>
      <c r="AD130" s="250"/>
      <c r="AE130" s="251"/>
      <c r="AF130" s="31"/>
      <c r="AG130" s="29"/>
      <c r="AH130" s="29"/>
      <c r="AI130" s="29"/>
      <c r="AJ130" s="29"/>
      <c r="AK130" s="29"/>
    </row>
    <row r="131" spans="1:37" s="20" customFormat="1" ht="31.5">
      <c r="A131" s="262"/>
      <c r="B131" s="271"/>
      <c r="C131" s="271"/>
      <c r="D131" s="258"/>
      <c r="E131" s="258"/>
      <c r="F131" s="258"/>
      <c r="G131" s="258"/>
      <c r="H131" s="250"/>
      <c r="I131" s="256"/>
      <c r="J131" s="250"/>
      <c r="K131" s="250"/>
      <c r="L131" s="250"/>
      <c r="M131" s="272"/>
      <c r="N131" s="250"/>
      <c r="O131" s="250"/>
      <c r="P131" s="250"/>
      <c r="Q131" s="250"/>
      <c r="R131" s="250"/>
      <c r="S131" s="250"/>
      <c r="T131" s="250"/>
      <c r="U131" s="65" t="s">
        <v>488</v>
      </c>
      <c r="V131" s="126">
        <v>4</v>
      </c>
      <c r="W131" s="126">
        <f>J123/V131</f>
        <v>361.125</v>
      </c>
      <c r="X131" s="117" t="s">
        <v>396</v>
      </c>
      <c r="Y131" s="118">
        <v>70</v>
      </c>
      <c r="Z131" s="62"/>
      <c r="AA131" s="84"/>
      <c r="AB131" s="68"/>
      <c r="AC131" s="118"/>
      <c r="AD131" s="250"/>
      <c r="AE131" s="251"/>
      <c r="AF131" s="31"/>
      <c r="AG131" s="29"/>
      <c r="AH131" s="29"/>
      <c r="AI131" s="29"/>
      <c r="AJ131" s="29"/>
      <c r="AK131" s="29"/>
    </row>
    <row r="132" spans="1:37" s="20" customFormat="1" ht="21" customHeight="1">
      <c r="A132" s="262"/>
      <c r="B132" s="271"/>
      <c r="C132" s="271"/>
      <c r="D132" s="258"/>
      <c r="E132" s="258"/>
      <c r="F132" s="258"/>
      <c r="G132" s="258"/>
      <c r="H132" s="250"/>
      <c r="I132" s="256"/>
      <c r="J132" s="250"/>
      <c r="K132" s="250"/>
      <c r="L132" s="250"/>
      <c r="M132" s="272"/>
      <c r="N132" s="250"/>
      <c r="O132" s="250"/>
      <c r="P132" s="250"/>
      <c r="Q132" s="250"/>
      <c r="R132" s="250"/>
      <c r="S132" s="250"/>
      <c r="T132" s="250"/>
      <c r="U132" s="67" t="s">
        <v>486</v>
      </c>
      <c r="V132" s="126"/>
      <c r="W132" s="126">
        <f>0.3*W131</f>
        <v>108.33749999999999</v>
      </c>
      <c r="X132" s="117" t="s">
        <v>396</v>
      </c>
      <c r="Y132" s="118">
        <v>70</v>
      </c>
      <c r="Z132" s="62">
        <v>200000</v>
      </c>
      <c r="AA132" s="84"/>
      <c r="AB132" s="68">
        <v>0</v>
      </c>
      <c r="AC132" s="118">
        <f>Y132*Z132*AB132</f>
        <v>0</v>
      </c>
      <c r="AD132" s="250"/>
      <c r="AE132" s="251"/>
      <c r="AF132" s="31"/>
      <c r="AG132" s="29"/>
      <c r="AH132" s="29"/>
      <c r="AI132" s="29"/>
      <c r="AJ132" s="29"/>
      <c r="AK132" s="29"/>
    </row>
    <row r="133" spans="1:37" s="20" customFormat="1" ht="35.25" customHeight="1">
      <c r="A133" s="262"/>
      <c r="B133" s="271"/>
      <c r="C133" s="271"/>
      <c r="D133" s="258"/>
      <c r="E133" s="258"/>
      <c r="F133" s="258"/>
      <c r="G133" s="258"/>
      <c r="H133" s="250"/>
      <c r="I133" s="256"/>
      <c r="J133" s="250"/>
      <c r="K133" s="250"/>
      <c r="L133" s="250"/>
      <c r="M133" s="272"/>
      <c r="N133" s="250"/>
      <c r="O133" s="250"/>
      <c r="P133" s="250"/>
      <c r="Q133" s="250"/>
      <c r="R133" s="250"/>
      <c r="S133" s="250"/>
      <c r="T133" s="250"/>
      <c r="U133" s="65" t="s">
        <v>431</v>
      </c>
      <c r="V133" s="126"/>
      <c r="W133" s="126"/>
      <c r="X133" s="117" t="s">
        <v>396</v>
      </c>
      <c r="Y133" s="118">
        <v>60</v>
      </c>
      <c r="Z133" s="62"/>
      <c r="AA133" s="84"/>
      <c r="AB133" s="68"/>
      <c r="AC133" s="118"/>
      <c r="AD133" s="250"/>
      <c r="AE133" s="251"/>
      <c r="AF133" s="31"/>
      <c r="AG133" s="29"/>
      <c r="AH133" s="29"/>
      <c r="AI133" s="29"/>
      <c r="AJ133" s="29"/>
      <c r="AK133" s="29"/>
    </row>
    <row r="134" spans="1:37" s="20" customFormat="1" ht="21" customHeight="1">
      <c r="A134" s="262"/>
      <c r="B134" s="271"/>
      <c r="C134" s="271"/>
      <c r="D134" s="258"/>
      <c r="E134" s="258"/>
      <c r="F134" s="258"/>
      <c r="G134" s="258"/>
      <c r="H134" s="250"/>
      <c r="I134" s="256"/>
      <c r="J134" s="250"/>
      <c r="K134" s="250"/>
      <c r="L134" s="250"/>
      <c r="M134" s="272"/>
      <c r="N134" s="250"/>
      <c r="O134" s="250"/>
      <c r="P134" s="250"/>
      <c r="Q134" s="250"/>
      <c r="R134" s="250"/>
      <c r="S134" s="250"/>
      <c r="T134" s="250"/>
      <c r="U134" s="67" t="s">
        <v>486</v>
      </c>
      <c r="V134" s="126"/>
      <c r="W134" s="126"/>
      <c r="X134" s="117" t="s">
        <v>396</v>
      </c>
      <c r="Y134" s="118">
        <v>60</v>
      </c>
      <c r="Z134" s="62">
        <v>150000</v>
      </c>
      <c r="AA134" s="84"/>
      <c r="AB134" s="68">
        <v>0</v>
      </c>
      <c r="AC134" s="118">
        <f>Y134*Z134*AB134</f>
        <v>0</v>
      </c>
      <c r="AD134" s="250"/>
      <c r="AE134" s="251"/>
      <c r="AF134" s="31"/>
      <c r="AG134" s="29"/>
      <c r="AH134" s="29"/>
      <c r="AI134" s="29"/>
      <c r="AJ134" s="29"/>
      <c r="AK134" s="29"/>
    </row>
    <row r="135" spans="1:37" s="20" customFormat="1" ht="56.25" customHeight="1">
      <c r="A135" s="262"/>
      <c r="B135" s="271"/>
      <c r="C135" s="271"/>
      <c r="D135" s="258"/>
      <c r="E135" s="258"/>
      <c r="F135" s="258"/>
      <c r="G135" s="258"/>
      <c r="H135" s="250"/>
      <c r="I135" s="256"/>
      <c r="J135" s="250"/>
      <c r="K135" s="250"/>
      <c r="L135" s="250"/>
      <c r="M135" s="272"/>
      <c r="N135" s="250"/>
      <c r="O135" s="250"/>
      <c r="P135" s="250"/>
      <c r="Q135" s="250"/>
      <c r="R135" s="250"/>
      <c r="S135" s="250"/>
      <c r="T135" s="250"/>
      <c r="U135" s="120" t="s">
        <v>483</v>
      </c>
      <c r="V135" s="126"/>
      <c r="W135" s="126"/>
      <c r="X135" s="117" t="s">
        <v>6</v>
      </c>
      <c r="Y135" s="114">
        <v>140</v>
      </c>
      <c r="Z135" s="62"/>
      <c r="AA135" s="84"/>
      <c r="AB135" s="68"/>
      <c r="AC135" s="118"/>
      <c r="AD135" s="250"/>
      <c r="AE135" s="251"/>
      <c r="AF135" s="31"/>
      <c r="AG135" s="29"/>
      <c r="AH135" s="29"/>
      <c r="AI135" s="29"/>
      <c r="AJ135" s="29"/>
      <c r="AK135" s="29"/>
    </row>
    <row r="136" spans="1:37" s="20" customFormat="1" ht="22.5" customHeight="1">
      <c r="A136" s="262"/>
      <c r="B136" s="271"/>
      <c r="C136" s="271"/>
      <c r="D136" s="258"/>
      <c r="E136" s="258"/>
      <c r="F136" s="258"/>
      <c r="G136" s="258"/>
      <c r="H136" s="250"/>
      <c r="I136" s="256"/>
      <c r="J136" s="250"/>
      <c r="K136" s="250"/>
      <c r="L136" s="250"/>
      <c r="M136" s="272"/>
      <c r="N136" s="250"/>
      <c r="O136" s="250"/>
      <c r="P136" s="250"/>
      <c r="Q136" s="250"/>
      <c r="R136" s="250"/>
      <c r="S136" s="250"/>
      <c r="T136" s="250"/>
      <c r="U136" s="120" t="s">
        <v>576</v>
      </c>
      <c r="V136" s="126"/>
      <c r="W136" s="126"/>
      <c r="X136" s="117" t="s">
        <v>6</v>
      </c>
      <c r="Y136" s="114">
        <v>240</v>
      </c>
      <c r="Z136" s="62"/>
      <c r="AA136" s="84"/>
      <c r="AB136" s="68"/>
      <c r="AC136" s="118"/>
      <c r="AD136" s="250"/>
      <c r="AE136" s="251"/>
      <c r="AF136" s="31"/>
      <c r="AG136" s="29"/>
      <c r="AH136" s="29"/>
      <c r="AI136" s="29"/>
      <c r="AJ136" s="29"/>
      <c r="AK136" s="29"/>
    </row>
    <row r="137" spans="1:37" s="20" customFormat="1" ht="22.5" customHeight="1">
      <c r="A137" s="262"/>
      <c r="B137" s="271"/>
      <c r="C137" s="271"/>
      <c r="D137" s="258"/>
      <c r="E137" s="258"/>
      <c r="F137" s="258"/>
      <c r="G137" s="258"/>
      <c r="H137" s="250"/>
      <c r="I137" s="256"/>
      <c r="J137" s="250"/>
      <c r="K137" s="250"/>
      <c r="L137" s="250"/>
      <c r="M137" s="272"/>
      <c r="N137" s="250"/>
      <c r="O137" s="250"/>
      <c r="P137" s="250"/>
      <c r="Q137" s="250"/>
      <c r="R137" s="250"/>
      <c r="S137" s="250"/>
      <c r="T137" s="250"/>
      <c r="U137" s="124" t="s">
        <v>443</v>
      </c>
      <c r="V137" s="126"/>
      <c r="W137" s="126"/>
      <c r="X137" s="117" t="s">
        <v>399</v>
      </c>
      <c r="Y137" s="114">
        <v>2</v>
      </c>
      <c r="Z137" s="62"/>
      <c r="AA137" s="84"/>
      <c r="AB137" s="68"/>
      <c r="AC137" s="118"/>
      <c r="AD137" s="250"/>
      <c r="AE137" s="251"/>
      <c r="AF137" s="31"/>
      <c r="AG137" s="29"/>
      <c r="AH137" s="29"/>
      <c r="AI137" s="29"/>
      <c r="AJ137" s="29"/>
      <c r="AK137" s="29"/>
    </row>
    <row r="138" spans="1:37" s="20" customFormat="1" ht="47.25" customHeight="1">
      <c r="A138" s="262"/>
      <c r="B138" s="271"/>
      <c r="C138" s="271"/>
      <c r="D138" s="258"/>
      <c r="E138" s="258"/>
      <c r="F138" s="258"/>
      <c r="G138" s="258"/>
      <c r="H138" s="250"/>
      <c r="I138" s="256"/>
      <c r="J138" s="250"/>
      <c r="K138" s="250"/>
      <c r="L138" s="250"/>
      <c r="M138" s="272"/>
      <c r="N138" s="250"/>
      <c r="O138" s="250"/>
      <c r="P138" s="250"/>
      <c r="Q138" s="250"/>
      <c r="R138" s="250"/>
      <c r="S138" s="250"/>
      <c r="T138" s="250"/>
      <c r="U138" s="124" t="s">
        <v>577</v>
      </c>
      <c r="V138" s="126"/>
      <c r="W138" s="126"/>
      <c r="X138" s="117" t="s">
        <v>414</v>
      </c>
      <c r="Y138" s="114">
        <v>18</v>
      </c>
      <c r="Z138" s="62"/>
      <c r="AA138" s="84"/>
      <c r="AB138" s="68"/>
      <c r="AC138" s="118"/>
      <c r="AD138" s="250"/>
      <c r="AE138" s="251"/>
      <c r="AF138" s="31"/>
      <c r="AG138" s="29"/>
      <c r="AH138" s="29"/>
      <c r="AI138" s="29"/>
      <c r="AJ138" s="29"/>
      <c r="AK138" s="29"/>
    </row>
    <row r="139" spans="1:37" s="20" customFormat="1" ht="47.25" customHeight="1">
      <c r="A139" s="262"/>
      <c r="B139" s="271"/>
      <c r="C139" s="271"/>
      <c r="D139" s="258"/>
      <c r="E139" s="258"/>
      <c r="F139" s="258"/>
      <c r="G139" s="258"/>
      <c r="H139" s="250"/>
      <c r="I139" s="256"/>
      <c r="J139" s="250"/>
      <c r="K139" s="250"/>
      <c r="L139" s="250"/>
      <c r="M139" s="272"/>
      <c r="N139" s="250"/>
      <c r="O139" s="250"/>
      <c r="P139" s="250"/>
      <c r="Q139" s="250"/>
      <c r="R139" s="250"/>
      <c r="S139" s="250"/>
      <c r="T139" s="250"/>
      <c r="U139" s="120" t="s">
        <v>578</v>
      </c>
      <c r="V139" s="126"/>
      <c r="W139" s="126"/>
      <c r="X139" s="117" t="s">
        <v>7</v>
      </c>
      <c r="Y139" s="114">
        <v>100</v>
      </c>
      <c r="Z139" s="62"/>
      <c r="AA139" s="79"/>
      <c r="AB139" s="80"/>
      <c r="AC139" s="118"/>
      <c r="AD139" s="250"/>
      <c r="AE139" s="251"/>
      <c r="AF139" s="31"/>
      <c r="AG139" s="29"/>
      <c r="AH139" s="29"/>
      <c r="AI139" s="29"/>
      <c r="AJ139" s="29"/>
      <c r="AK139" s="29"/>
    </row>
    <row r="140" spans="1:37" s="19" customFormat="1" ht="23.25" customHeight="1">
      <c r="A140" s="262">
        <v>17</v>
      </c>
      <c r="B140" s="263" t="s">
        <v>548</v>
      </c>
      <c r="C140" s="258" t="s">
        <v>33</v>
      </c>
      <c r="D140" s="258">
        <v>64</v>
      </c>
      <c r="E140" s="258">
        <v>816</v>
      </c>
      <c r="F140" s="258">
        <v>183.6</v>
      </c>
      <c r="G140" s="258" t="s">
        <v>28</v>
      </c>
      <c r="H140" s="250">
        <v>180</v>
      </c>
      <c r="I140" s="256">
        <f>F140-H140</f>
        <v>3.5999999999999943</v>
      </c>
      <c r="J140" s="250">
        <v>180</v>
      </c>
      <c r="K140" s="250">
        <v>1080</v>
      </c>
      <c r="L140" s="258"/>
      <c r="M140" s="272">
        <f>J140/K140*100</f>
        <v>16.666666666666664</v>
      </c>
      <c r="N140" s="250">
        <v>3</v>
      </c>
      <c r="O140" s="250">
        <v>7</v>
      </c>
      <c r="P140" s="250">
        <v>80000</v>
      </c>
      <c r="Q140" s="250">
        <f>P140*J140</f>
        <v>14400000</v>
      </c>
      <c r="R140" s="250">
        <f>Q140*3</f>
        <v>43200000</v>
      </c>
      <c r="S140" s="250">
        <f>N140*O140*17000*30</f>
        <v>10710000</v>
      </c>
      <c r="T140" s="250">
        <f>SUM(Q140:S146)</f>
        <v>68310000</v>
      </c>
      <c r="U140" s="82" t="s">
        <v>446</v>
      </c>
      <c r="V140" s="126"/>
      <c r="W140" s="126"/>
      <c r="X140" s="117" t="s">
        <v>0</v>
      </c>
      <c r="Y140" s="83">
        <v>135</v>
      </c>
      <c r="Z140" s="62">
        <v>180000</v>
      </c>
      <c r="AA140" s="84"/>
      <c r="AB140" s="68">
        <v>1</v>
      </c>
      <c r="AC140" s="118">
        <f>Y140*Z140*AB140</f>
        <v>24300000</v>
      </c>
      <c r="AD140" s="250">
        <f>SUM(AC140:AC146)</f>
        <v>26800000</v>
      </c>
      <c r="AE140" s="251">
        <f>T140+AD140</f>
        <v>95110000</v>
      </c>
      <c r="AF140" s="31"/>
      <c r="AG140" s="81"/>
      <c r="AH140" s="81"/>
      <c r="AI140" s="81"/>
      <c r="AJ140" s="81"/>
      <c r="AK140" s="81"/>
    </row>
    <row r="141" spans="1:37" s="19" customFormat="1" ht="36" customHeight="1">
      <c r="A141" s="262"/>
      <c r="B141" s="263"/>
      <c r="C141" s="258"/>
      <c r="D141" s="258"/>
      <c r="E141" s="258"/>
      <c r="F141" s="258"/>
      <c r="G141" s="258"/>
      <c r="H141" s="250"/>
      <c r="I141" s="256"/>
      <c r="J141" s="250"/>
      <c r="K141" s="250"/>
      <c r="L141" s="258"/>
      <c r="M141" s="272"/>
      <c r="N141" s="250"/>
      <c r="O141" s="250"/>
      <c r="P141" s="250"/>
      <c r="Q141" s="250"/>
      <c r="R141" s="250"/>
      <c r="S141" s="250"/>
      <c r="T141" s="250"/>
      <c r="U141" s="65" t="s">
        <v>449</v>
      </c>
      <c r="V141" s="126">
        <v>4</v>
      </c>
      <c r="W141" s="126">
        <f>(J140-Y140)/V141</f>
        <v>11.25</v>
      </c>
      <c r="X141" s="117" t="s">
        <v>396</v>
      </c>
      <c r="Y141" s="118">
        <v>20</v>
      </c>
      <c r="Z141" s="62"/>
      <c r="AA141" s="84"/>
      <c r="AB141" s="68"/>
      <c r="AC141" s="118"/>
      <c r="AD141" s="250"/>
      <c r="AE141" s="251"/>
      <c r="AF141" s="31" t="s">
        <v>398</v>
      </c>
      <c r="AG141" s="81"/>
      <c r="AH141" s="81"/>
      <c r="AI141" s="81"/>
      <c r="AJ141" s="81"/>
      <c r="AK141" s="81"/>
    </row>
    <row r="142" spans="1:37" s="19" customFormat="1" ht="21.75" customHeight="1">
      <c r="A142" s="262"/>
      <c r="B142" s="263"/>
      <c r="C142" s="258"/>
      <c r="D142" s="258"/>
      <c r="E142" s="258"/>
      <c r="F142" s="258"/>
      <c r="G142" s="258"/>
      <c r="H142" s="250"/>
      <c r="I142" s="256"/>
      <c r="J142" s="250"/>
      <c r="K142" s="250"/>
      <c r="L142" s="258"/>
      <c r="M142" s="272"/>
      <c r="N142" s="250"/>
      <c r="O142" s="250"/>
      <c r="P142" s="250"/>
      <c r="Q142" s="250"/>
      <c r="R142" s="250"/>
      <c r="S142" s="250"/>
      <c r="T142" s="250"/>
      <c r="U142" s="67" t="s">
        <v>421</v>
      </c>
      <c r="V142" s="126"/>
      <c r="W142" s="126"/>
      <c r="X142" s="117" t="s">
        <v>396</v>
      </c>
      <c r="Y142" s="118">
        <v>11</v>
      </c>
      <c r="Z142" s="62">
        <v>200000</v>
      </c>
      <c r="AA142" s="84"/>
      <c r="AB142" s="68">
        <v>1</v>
      </c>
      <c r="AC142" s="118">
        <f>Y142*Z142*AB142</f>
        <v>2200000</v>
      </c>
      <c r="AD142" s="250"/>
      <c r="AE142" s="251"/>
      <c r="AF142" s="31"/>
      <c r="AG142" s="81"/>
      <c r="AH142" s="81"/>
      <c r="AI142" s="81"/>
      <c r="AJ142" s="81"/>
      <c r="AK142" s="81"/>
    </row>
    <row r="143" spans="1:37" s="19" customFormat="1" ht="21.75" customHeight="1">
      <c r="A143" s="262"/>
      <c r="B143" s="263"/>
      <c r="C143" s="258"/>
      <c r="D143" s="258"/>
      <c r="E143" s="258"/>
      <c r="F143" s="258"/>
      <c r="G143" s="258"/>
      <c r="H143" s="250"/>
      <c r="I143" s="256"/>
      <c r="J143" s="250"/>
      <c r="K143" s="250"/>
      <c r="L143" s="258"/>
      <c r="M143" s="272"/>
      <c r="N143" s="250"/>
      <c r="O143" s="250"/>
      <c r="P143" s="250"/>
      <c r="Q143" s="250"/>
      <c r="R143" s="250"/>
      <c r="S143" s="250"/>
      <c r="T143" s="250"/>
      <c r="U143" s="67" t="s">
        <v>423</v>
      </c>
      <c r="V143" s="126"/>
      <c r="W143" s="126">
        <f>0.3*W141</f>
        <v>3.375</v>
      </c>
      <c r="X143" s="117" t="s">
        <v>396</v>
      </c>
      <c r="Y143" s="118">
        <v>3</v>
      </c>
      <c r="Z143" s="62">
        <v>200000</v>
      </c>
      <c r="AA143" s="79"/>
      <c r="AB143" s="80">
        <v>0.5</v>
      </c>
      <c r="AC143" s="118">
        <f t="shared" ref="AC143:AC144" si="21">Y143*Z143*AB143</f>
        <v>300000</v>
      </c>
      <c r="AD143" s="250"/>
      <c r="AE143" s="251"/>
      <c r="AF143" s="31"/>
      <c r="AG143" s="81"/>
      <c r="AH143" s="81"/>
      <c r="AI143" s="81"/>
      <c r="AJ143" s="81"/>
      <c r="AK143" s="81"/>
    </row>
    <row r="144" spans="1:37" s="19" customFormat="1" ht="21.75" customHeight="1">
      <c r="A144" s="262"/>
      <c r="B144" s="263"/>
      <c r="C144" s="258"/>
      <c r="D144" s="258"/>
      <c r="E144" s="258"/>
      <c r="F144" s="258"/>
      <c r="G144" s="258"/>
      <c r="H144" s="250"/>
      <c r="I144" s="256"/>
      <c r="J144" s="250"/>
      <c r="K144" s="250"/>
      <c r="L144" s="258"/>
      <c r="M144" s="272"/>
      <c r="N144" s="250"/>
      <c r="O144" s="250"/>
      <c r="P144" s="250"/>
      <c r="Q144" s="250"/>
      <c r="R144" s="250"/>
      <c r="S144" s="250"/>
      <c r="T144" s="250"/>
      <c r="U144" s="67" t="s">
        <v>424</v>
      </c>
      <c r="V144" s="126"/>
      <c r="W144" s="126"/>
      <c r="X144" s="117" t="s">
        <v>396</v>
      </c>
      <c r="Y144" s="118">
        <f>Y142-Y143</f>
        <v>8</v>
      </c>
      <c r="Z144" s="62">
        <v>200000</v>
      </c>
      <c r="AA144" s="79"/>
      <c r="AB144" s="80">
        <v>0</v>
      </c>
      <c r="AC144" s="118">
        <f t="shared" si="21"/>
        <v>0</v>
      </c>
      <c r="AD144" s="250"/>
      <c r="AE144" s="251"/>
      <c r="AF144" s="31"/>
      <c r="AG144" s="81"/>
      <c r="AH144" s="81"/>
      <c r="AI144" s="81"/>
      <c r="AJ144" s="81"/>
      <c r="AK144" s="81"/>
    </row>
    <row r="145" spans="1:37" s="19" customFormat="1" ht="34.5" customHeight="1">
      <c r="A145" s="262"/>
      <c r="B145" s="263"/>
      <c r="C145" s="258"/>
      <c r="D145" s="258"/>
      <c r="E145" s="258"/>
      <c r="F145" s="258"/>
      <c r="G145" s="258"/>
      <c r="H145" s="250"/>
      <c r="I145" s="256"/>
      <c r="J145" s="250"/>
      <c r="K145" s="250"/>
      <c r="L145" s="258"/>
      <c r="M145" s="272"/>
      <c r="N145" s="250"/>
      <c r="O145" s="250"/>
      <c r="P145" s="250"/>
      <c r="Q145" s="250"/>
      <c r="R145" s="250"/>
      <c r="S145" s="250"/>
      <c r="T145" s="250"/>
      <c r="U145" s="65" t="s">
        <v>450</v>
      </c>
      <c r="V145" s="126"/>
      <c r="W145" s="126"/>
      <c r="X145" s="117" t="s">
        <v>396</v>
      </c>
      <c r="Y145" s="118">
        <v>5</v>
      </c>
      <c r="Z145" s="62"/>
      <c r="AA145" s="84"/>
      <c r="AB145" s="68"/>
      <c r="AC145" s="118"/>
      <c r="AD145" s="250"/>
      <c r="AE145" s="251"/>
      <c r="AF145" s="31"/>
      <c r="AG145" s="81"/>
      <c r="AH145" s="81"/>
      <c r="AI145" s="81"/>
      <c r="AJ145" s="81"/>
      <c r="AK145" s="81"/>
    </row>
    <row r="146" spans="1:37" s="19" customFormat="1" ht="21.75" customHeight="1">
      <c r="A146" s="262"/>
      <c r="B146" s="263"/>
      <c r="C146" s="258"/>
      <c r="D146" s="258"/>
      <c r="E146" s="258"/>
      <c r="F146" s="258"/>
      <c r="G146" s="258"/>
      <c r="H146" s="250"/>
      <c r="I146" s="256"/>
      <c r="J146" s="250"/>
      <c r="K146" s="250"/>
      <c r="L146" s="258"/>
      <c r="M146" s="272"/>
      <c r="N146" s="250"/>
      <c r="O146" s="250"/>
      <c r="P146" s="250"/>
      <c r="Q146" s="250"/>
      <c r="R146" s="250"/>
      <c r="S146" s="250"/>
      <c r="T146" s="250"/>
      <c r="U146" s="67" t="s">
        <v>486</v>
      </c>
      <c r="V146" s="126"/>
      <c r="W146" s="126"/>
      <c r="X146" s="117" t="s">
        <v>396</v>
      </c>
      <c r="Y146" s="118">
        <v>5</v>
      </c>
      <c r="Z146" s="62">
        <v>150000</v>
      </c>
      <c r="AA146" s="84"/>
      <c r="AB146" s="68">
        <v>0</v>
      </c>
      <c r="AC146" s="118">
        <f>Y146*Z146*AB146</f>
        <v>0</v>
      </c>
      <c r="AD146" s="250"/>
      <c r="AE146" s="251"/>
      <c r="AF146" s="31"/>
      <c r="AG146" s="81"/>
      <c r="AH146" s="81"/>
      <c r="AI146" s="81"/>
      <c r="AJ146" s="81"/>
      <c r="AK146" s="81"/>
    </row>
    <row r="147" spans="1:37" s="19" customFormat="1" ht="20.25" customHeight="1">
      <c r="A147" s="262">
        <v>18</v>
      </c>
      <c r="B147" s="263" t="s">
        <v>549</v>
      </c>
      <c r="C147" s="258" t="s">
        <v>33</v>
      </c>
      <c r="D147" s="258">
        <v>64</v>
      </c>
      <c r="E147" s="258">
        <v>494</v>
      </c>
      <c r="F147" s="258">
        <v>648.1</v>
      </c>
      <c r="G147" s="258" t="s">
        <v>28</v>
      </c>
      <c r="H147" s="250">
        <v>648</v>
      </c>
      <c r="I147" s="256">
        <f>F147-H147</f>
        <v>0.10000000000002274</v>
      </c>
      <c r="J147" s="250">
        <v>648</v>
      </c>
      <c r="K147" s="250">
        <v>720</v>
      </c>
      <c r="L147" s="258"/>
      <c r="M147" s="272">
        <f>J147/K147*100</f>
        <v>90</v>
      </c>
      <c r="N147" s="250">
        <v>12</v>
      </c>
      <c r="O147" s="250">
        <v>3</v>
      </c>
      <c r="P147" s="250">
        <v>80000</v>
      </c>
      <c r="Q147" s="250">
        <f>P147*J147</f>
        <v>51840000</v>
      </c>
      <c r="R147" s="250">
        <f>Q147*3</f>
        <v>155520000</v>
      </c>
      <c r="S147" s="250">
        <f>N147*O147*17000*30</f>
        <v>18360000</v>
      </c>
      <c r="T147" s="250">
        <f>SUM(Q147:S153)</f>
        <v>225720000</v>
      </c>
      <c r="U147" s="82" t="s">
        <v>446</v>
      </c>
      <c r="V147" s="126"/>
      <c r="W147" s="126"/>
      <c r="X147" s="117" t="s">
        <v>0</v>
      </c>
      <c r="Y147" s="83">
        <v>486</v>
      </c>
      <c r="Z147" s="62">
        <v>180000</v>
      </c>
      <c r="AA147" s="84"/>
      <c r="AB147" s="68">
        <v>1</v>
      </c>
      <c r="AC147" s="118">
        <f>Y147*Z147*AB147</f>
        <v>87480000</v>
      </c>
      <c r="AD147" s="250">
        <f>SUM(AC147:AC153)</f>
        <v>96680000</v>
      </c>
      <c r="AE147" s="251">
        <f>T147+AD147</f>
        <v>322400000</v>
      </c>
      <c r="AF147" s="31"/>
      <c r="AG147" s="81"/>
      <c r="AH147" s="81"/>
      <c r="AI147" s="81"/>
      <c r="AJ147" s="81"/>
      <c r="AK147" s="81"/>
    </row>
    <row r="148" spans="1:37" s="19" customFormat="1" ht="36" customHeight="1">
      <c r="A148" s="262"/>
      <c r="B148" s="263"/>
      <c r="C148" s="258"/>
      <c r="D148" s="258"/>
      <c r="E148" s="258"/>
      <c r="F148" s="258"/>
      <c r="G148" s="258"/>
      <c r="H148" s="250"/>
      <c r="I148" s="256"/>
      <c r="J148" s="250"/>
      <c r="K148" s="250"/>
      <c r="L148" s="258"/>
      <c r="M148" s="272"/>
      <c r="N148" s="250"/>
      <c r="O148" s="250"/>
      <c r="P148" s="250"/>
      <c r="Q148" s="250"/>
      <c r="R148" s="250"/>
      <c r="S148" s="250"/>
      <c r="T148" s="250"/>
      <c r="U148" s="65" t="s">
        <v>449</v>
      </c>
      <c r="V148" s="126">
        <v>4</v>
      </c>
      <c r="W148" s="126">
        <f>(J147-Y147)/V148</f>
        <v>40.5</v>
      </c>
      <c r="X148" s="117" t="s">
        <v>396</v>
      </c>
      <c r="Y148" s="118">
        <v>45</v>
      </c>
      <c r="Z148" s="62"/>
      <c r="AA148" s="84"/>
      <c r="AB148" s="68"/>
      <c r="AC148" s="118"/>
      <c r="AD148" s="250"/>
      <c r="AE148" s="251"/>
      <c r="AF148" s="31" t="s">
        <v>398</v>
      </c>
      <c r="AG148" s="81"/>
      <c r="AH148" s="81"/>
      <c r="AI148" s="81"/>
      <c r="AJ148" s="81"/>
      <c r="AK148" s="81"/>
    </row>
    <row r="149" spans="1:37" s="19" customFormat="1" ht="26.25" customHeight="1">
      <c r="A149" s="262"/>
      <c r="B149" s="263"/>
      <c r="C149" s="258"/>
      <c r="D149" s="258"/>
      <c r="E149" s="258"/>
      <c r="F149" s="258"/>
      <c r="G149" s="258"/>
      <c r="H149" s="250"/>
      <c r="I149" s="256"/>
      <c r="J149" s="250"/>
      <c r="K149" s="250"/>
      <c r="L149" s="258"/>
      <c r="M149" s="272"/>
      <c r="N149" s="250"/>
      <c r="O149" s="250"/>
      <c r="P149" s="250"/>
      <c r="Q149" s="250"/>
      <c r="R149" s="250"/>
      <c r="S149" s="250"/>
      <c r="T149" s="250"/>
      <c r="U149" s="67" t="s">
        <v>421</v>
      </c>
      <c r="V149" s="126"/>
      <c r="W149" s="126"/>
      <c r="X149" s="117" t="s">
        <v>396</v>
      </c>
      <c r="Y149" s="118">
        <v>41</v>
      </c>
      <c r="Z149" s="62">
        <v>200000</v>
      </c>
      <c r="AA149" s="84"/>
      <c r="AB149" s="68">
        <v>1</v>
      </c>
      <c r="AC149" s="118">
        <f>Y149*Z149*AB149</f>
        <v>8200000</v>
      </c>
      <c r="AD149" s="250"/>
      <c r="AE149" s="251"/>
      <c r="AF149" s="31"/>
      <c r="AG149" s="81"/>
      <c r="AH149" s="81"/>
      <c r="AI149" s="81"/>
      <c r="AJ149" s="81"/>
      <c r="AK149" s="81"/>
    </row>
    <row r="150" spans="1:37" s="19" customFormat="1" ht="26.25" customHeight="1">
      <c r="A150" s="262"/>
      <c r="B150" s="263"/>
      <c r="C150" s="258"/>
      <c r="D150" s="258"/>
      <c r="E150" s="258"/>
      <c r="F150" s="258"/>
      <c r="G150" s="258"/>
      <c r="H150" s="250"/>
      <c r="I150" s="256"/>
      <c r="J150" s="250"/>
      <c r="K150" s="250"/>
      <c r="L150" s="258"/>
      <c r="M150" s="272"/>
      <c r="N150" s="250"/>
      <c r="O150" s="250"/>
      <c r="P150" s="250"/>
      <c r="Q150" s="250"/>
      <c r="R150" s="250"/>
      <c r="S150" s="250"/>
      <c r="T150" s="250"/>
      <c r="U150" s="67" t="s">
        <v>423</v>
      </c>
      <c r="V150" s="126"/>
      <c r="W150" s="126">
        <f>0.3*W148</f>
        <v>12.15</v>
      </c>
      <c r="X150" s="117" t="s">
        <v>396</v>
      </c>
      <c r="Y150" s="118">
        <v>4</v>
      </c>
      <c r="Z150" s="62">
        <v>200000</v>
      </c>
      <c r="AA150" s="79"/>
      <c r="AB150" s="80">
        <v>0.5</v>
      </c>
      <c r="AC150" s="118">
        <f t="shared" ref="AC150" si="22">Y150*Z150*AB150</f>
        <v>400000</v>
      </c>
      <c r="AD150" s="250"/>
      <c r="AE150" s="251"/>
      <c r="AF150" s="31"/>
      <c r="AG150" s="102"/>
      <c r="AH150" s="81"/>
      <c r="AI150" s="81"/>
      <c r="AJ150" s="81"/>
      <c r="AK150" s="81"/>
    </row>
    <row r="151" spans="1:37" s="19" customFormat="1" ht="30.75" customHeight="1">
      <c r="A151" s="262"/>
      <c r="B151" s="263"/>
      <c r="C151" s="258"/>
      <c r="D151" s="258"/>
      <c r="E151" s="258"/>
      <c r="F151" s="258"/>
      <c r="G151" s="258"/>
      <c r="H151" s="250"/>
      <c r="I151" s="256"/>
      <c r="J151" s="250"/>
      <c r="K151" s="250"/>
      <c r="L151" s="258"/>
      <c r="M151" s="272"/>
      <c r="N151" s="250"/>
      <c r="O151" s="250"/>
      <c r="P151" s="250"/>
      <c r="Q151" s="250"/>
      <c r="R151" s="250"/>
      <c r="S151" s="250"/>
      <c r="T151" s="250"/>
      <c r="U151" s="65" t="s">
        <v>450</v>
      </c>
      <c r="V151" s="126"/>
      <c r="W151" s="126"/>
      <c r="X151" s="117" t="s">
        <v>396</v>
      </c>
      <c r="Y151" s="118">
        <v>20</v>
      </c>
      <c r="Z151" s="62"/>
      <c r="AA151" s="84"/>
      <c r="AB151" s="68"/>
      <c r="AC151" s="118"/>
      <c r="AD151" s="250"/>
      <c r="AE151" s="251"/>
      <c r="AF151" s="31"/>
      <c r="AG151" s="81"/>
      <c r="AH151" s="81"/>
      <c r="AI151" s="81"/>
      <c r="AJ151" s="81"/>
      <c r="AK151" s="81"/>
    </row>
    <row r="152" spans="1:37" s="19" customFormat="1" ht="30.75" customHeight="1">
      <c r="A152" s="262"/>
      <c r="B152" s="263"/>
      <c r="C152" s="258"/>
      <c r="D152" s="258"/>
      <c r="E152" s="258"/>
      <c r="F152" s="258"/>
      <c r="G152" s="258"/>
      <c r="H152" s="250"/>
      <c r="I152" s="256"/>
      <c r="J152" s="250"/>
      <c r="K152" s="250"/>
      <c r="L152" s="258"/>
      <c r="M152" s="272"/>
      <c r="N152" s="250"/>
      <c r="O152" s="250"/>
      <c r="P152" s="250"/>
      <c r="Q152" s="250"/>
      <c r="R152" s="250"/>
      <c r="S152" s="250"/>
      <c r="T152" s="250"/>
      <c r="U152" s="67" t="s">
        <v>423</v>
      </c>
      <c r="V152" s="126"/>
      <c r="W152" s="126"/>
      <c r="X152" s="117" t="s">
        <v>396</v>
      </c>
      <c r="Y152" s="118">
        <v>8</v>
      </c>
      <c r="Z152" s="62">
        <v>150000</v>
      </c>
      <c r="AA152" s="79"/>
      <c r="AB152" s="80">
        <v>0.5</v>
      </c>
      <c r="AC152" s="118">
        <f t="shared" ref="AC152:AC154" si="23">Y152*Z152*AB152</f>
        <v>600000</v>
      </c>
      <c r="AD152" s="250"/>
      <c r="AE152" s="251"/>
      <c r="AF152" s="31"/>
      <c r="AG152" s="81"/>
      <c r="AH152" s="81"/>
      <c r="AI152" s="81"/>
      <c r="AJ152" s="81"/>
      <c r="AK152" s="81"/>
    </row>
    <row r="153" spans="1:37" s="19" customFormat="1" ht="21.75" customHeight="1">
      <c r="A153" s="262"/>
      <c r="B153" s="263"/>
      <c r="C153" s="258"/>
      <c r="D153" s="258"/>
      <c r="E153" s="258"/>
      <c r="F153" s="258"/>
      <c r="G153" s="258"/>
      <c r="H153" s="250"/>
      <c r="I153" s="256"/>
      <c r="J153" s="250"/>
      <c r="K153" s="250"/>
      <c r="L153" s="258"/>
      <c r="M153" s="272"/>
      <c r="N153" s="250"/>
      <c r="O153" s="250"/>
      <c r="P153" s="250"/>
      <c r="Q153" s="250"/>
      <c r="R153" s="250"/>
      <c r="S153" s="250"/>
      <c r="T153" s="250"/>
      <c r="U153" s="67" t="s">
        <v>424</v>
      </c>
      <c r="V153" s="126"/>
      <c r="W153" s="126"/>
      <c r="X153" s="117" t="s">
        <v>396</v>
      </c>
      <c r="Y153" s="118">
        <f>Y151-Y152</f>
        <v>12</v>
      </c>
      <c r="Z153" s="62">
        <v>150000</v>
      </c>
      <c r="AA153" s="79"/>
      <c r="AB153" s="80">
        <v>0</v>
      </c>
      <c r="AC153" s="118">
        <f t="shared" si="23"/>
        <v>0</v>
      </c>
      <c r="AD153" s="250"/>
      <c r="AE153" s="251"/>
      <c r="AF153" s="31"/>
      <c r="AG153" s="81"/>
      <c r="AH153" s="81"/>
      <c r="AI153" s="81"/>
      <c r="AJ153" s="81"/>
      <c r="AK153" s="81"/>
    </row>
    <row r="154" spans="1:37" s="19" customFormat="1" ht="26.25" customHeight="1">
      <c r="A154" s="262">
        <v>19</v>
      </c>
      <c r="B154" s="263" t="s">
        <v>550</v>
      </c>
      <c r="C154" s="258" t="s">
        <v>33</v>
      </c>
      <c r="D154" s="258">
        <v>64</v>
      </c>
      <c r="E154" s="258">
        <v>493</v>
      </c>
      <c r="F154" s="258">
        <v>469.7</v>
      </c>
      <c r="G154" s="258" t="s">
        <v>28</v>
      </c>
      <c r="H154" s="250">
        <v>468</v>
      </c>
      <c r="I154" s="256">
        <f>F154-H154</f>
        <v>1.6999999999999886</v>
      </c>
      <c r="J154" s="250">
        <v>468</v>
      </c>
      <c r="K154" s="250">
        <v>720</v>
      </c>
      <c r="L154" s="258"/>
      <c r="M154" s="272">
        <f>J154/K154*100</f>
        <v>65</v>
      </c>
      <c r="N154" s="250">
        <v>6</v>
      </c>
      <c r="O154" s="250">
        <v>2</v>
      </c>
      <c r="P154" s="250">
        <v>80000</v>
      </c>
      <c r="Q154" s="250">
        <f>P154*J154</f>
        <v>37440000</v>
      </c>
      <c r="R154" s="250">
        <f>Q154*3</f>
        <v>112320000</v>
      </c>
      <c r="S154" s="250">
        <f>N154*O154*17000*30</f>
        <v>6120000</v>
      </c>
      <c r="T154" s="250">
        <f>SUM(Q154:S160)</f>
        <v>155880000</v>
      </c>
      <c r="U154" s="82" t="s">
        <v>446</v>
      </c>
      <c r="V154" s="126"/>
      <c r="W154" s="126"/>
      <c r="X154" s="117" t="s">
        <v>0</v>
      </c>
      <c r="Y154" s="83">
        <v>351</v>
      </c>
      <c r="Z154" s="62">
        <v>180000</v>
      </c>
      <c r="AA154" s="84"/>
      <c r="AB154" s="68">
        <v>1</v>
      </c>
      <c r="AC154" s="118">
        <f t="shared" si="23"/>
        <v>63180000</v>
      </c>
      <c r="AD154" s="250">
        <f>SUM(AC154:AC160)</f>
        <v>69880000</v>
      </c>
      <c r="AE154" s="251">
        <f>T154+AD154</f>
        <v>225760000</v>
      </c>
      <c r="AF154" s="31"/>
      <c r="AG154" s="81"/>
      <c r="AH154" s="81"/>
      <c r="AI154" s="81"/>
      <c r="AJ154" s="81"/>
      <c r="AK154" s="81"/>
    </row>
    <row r="155" spans="1:37" s="19" customFormat="1" ht="36" customHeight="1">
      <c r="A155" s="262"/>
      <c r="B155" s="263"/>
      <c r="C155" s="258"/>
      <c r="D155" s="258"/>
      <c r="E155" s="258"/>
      <c r="F155" s="258"/>
      <c r="G155" s="258"/>
      <c r="H155" s="250"/>
      <c r="I155" s="256"/>
      <c r="J155" s="250"/>
      <c r="K155" s="250"/>
      <c r="L155" s="258"/>
      <c r="M155" s="272"/>
      <c r="N155" s="250"/>
      <c r="O155" s="250"/>
      <c r="P155" s="250"/>
      <c r="Q155" s="250"/>
      <c r="R155" s="250"/>
      <c r="S155" s="250"/>
      <c r="T155" s="250"/>
      <c r="U155" s="65" t="s">
        <v>449</v>
      </c>
      <c r="V155" s="126">
        <v>4</v>
      </c>
      <c r="W155" s="126">
        <f>(J154-Y154)/V155</f>
        <v>29.25</v>
      </c>
      <c r="X155" s="117" t="s">
        <v>396</v>
      </c>
      <c r="Y155" s="118">
        <v>45</v>
      </c>
      <c r="Z155" s="62"/>
      <c r="AA155" s="84"/>
      <c r="AB155" s="68"/>
      <c r="AC155" s="118"/>
      <c r="AD155" s="250"/>
      <c r="AE155" s="251"/>
      <c r="AF155" s="31" t="s">
        <v>398</v>
      </c>
      <c r="AG155" s="81"/>
      <c r="AH155" s="81"/>
      <c r="AI155" s="81"/>
      <c r="AJ155" s="81"/>
      <c r="AK155" s="81"/>
    </row>
    <row r="156" spans="1:37" s="19" customFormat="1" ht="21.75" customHeight="1">
      <c r="A156" s="262"/>
      <c r="B156" s="263"/>
      <c r="C156" s="258"/>
      <c r="D156" s="258"/>
      <c r="E156" s="258"/>
      <c r="F156" s="258"/>
      <c r="G156" s="258"/>
      <c r="H156" s="250"/>
      <c r="I156" s="256"/>
      <c r="J156" s="250"/>
      <c r="K156" s="250"/>
      <c r="L156" s="258"/>
      <c r="M156" s="272"/>
      <c r="N156" s="250"/>
      <c r="O156" s="250"/>
      <c r="P156" s="250"/>
      <c r="Q156" s="250"/>
      <c r="R156" s="250"/>
      <c r="S156" s="250"/>
      <c r="T156" s="250"/>
      <c r="U156" s="67" t="s">
        <v>421</v>
      </c>
      <c r="V156" s="126"/>
      <c r="W156" s="126"/>
      <c r="X156" s="117" t="s">
        <v>396</v>
      </c>
      <c r="Y156" s="118">
        <v>29</v>
      </c>
      <c r="Z156" s="62">
        <v>200000</v>
      </c>
      <c r="AA156" s="84"/>
      <c r="AB156" s="68">
        <v>1</v>
      </c>
      <c r="AC156" s="118">
        <f>Y156*Z156*AB156</f>
        <v>5800000</v>
      </c>
      <c r="AD156" s="250"/>
      <c r="AE156" s="251"/>
      <c r="AF156" s="31"/>
      <c r="AG156" s="81"/>
      <c r="AH156" s="81"/>
      <c r="AI156" s="81"/>
      <c r="AJ156" s="81"/>
      <c r="AK156" s="81"/>
    </row>
    <row r="157" spans="1:37" s="19" customFormat="1" ht="21.75" customHeight="1">
      <c r="A157" s="262"/>
      <c r="B157" s="263"/>
      <c r="C157" s="258"/>
      <c r="D157" s="258"/>
      <c r="E157" s="258"/>
      <c r="F157" s="258"/>
      <c r="G157" s="258"/>
      <c r="H157" s="250"/>
      <c r="I157" s="256"/>
      <c r="J157" s="250"/>
      <c r="K157" s="250"/>
      <c r="L157" s="258"/>
      <c r="M157" s="272"/>
      <c r="N157" s="250"/>
      <c r="O157" s="250"/>
      <c r="P157" s="250"/>
      <c r="Q157" s="250"/>
      <c r="R157" s="250"/>
      <c r="S157" s="250"/>
      <c r="T157" s="250"/>
      <c r="U157" s="67" t="s">
        <v>423</v>
      </c>
      <c r="V157" s="126"/>
      <c r="W157" s="126">
        <f>0.3*W155</f>
        <v>8.7750000000000004</v>
      </c>
      <c r="X157" s="117" t="s">
        <v>396</v>
      </c>
      <c r="Y157" s="118">
        <v>9</v>
      </c>
      <c r="Z157" s="62">
        <v>200000</v>
      </c>
      <c r="AA157" s="79"/>
      <c r="AB157" s="80">
        <v>0.5</v>
      </c>
      <c r="AC157" s="118">
        <f t="shared" ref="AC157:AC158" si="24">Y157*Z157*AB157</f>
        <v>900000</v>
      </c>
      <c r="AD157" s="250"/>
      <c r="AE157" s="251"/>
      <c r="AF157" s="31"/>
      <c r="AG157" s="81"/>
      <c r="AH157" s="81"/>
      <c r="AI157" s="81"/>
      <c r="AJ157" s="81"/>
      <c r="AK157" s="81"/>
    </row>
    <row r="158" spans="1:37" s="19" customFormat="1" ht="21.75" customHeight="1">
      <c r="A158" s="262"/>
      <c r="B158" s="263"/>
      <c r="C158" s="258"/>
      <c r="D158" s="258"/>
      <c r="E158" s="258"/>
      <c r="F158" s="258"/>
      <c r="G158" s="258"/>
      <c r="H158" s="250"/>
      <c r="I158" s="256"/>
      <c r="J158" s="250"/>
      <c r="K158" s="250"/>
      <c r="L158" s="258"/>
      <c r="M158" s="272"/>
      <c r="N158" s="250"/>
      <c r="O158" s="250"/>
      <c r="P158" s="250"/>
      <c r="Q158" s="250"/>
      <c r="R158" s="250"/>
      <c r="S158" s="250"/>
      <c r="T158" s="250"/>
      <c r="U158" s="67" t="s">
        <v>424</v>
      </c>
      <c r="V158" s="126"/>
      <c r="W158" s="126"/>
      <c r="X158" s="117" t="s">
        <v>396</v>
      </c>
      <c r="Y158" s="118">
        <f>Y156-Y157</f>
        <v>20</v>
      </c>
      <c r="Z158" s="62">
        <v>200000</v>
      </c>
      <c r="AA158" s="79"/>
      <c r="AB158" s="80">
        <v>0</v>
      </c>
      <c r="AC158" s="118">
        <f t="shared" si="24"/>
        <v>0</v>
      </c>
      <c r="AD158" s="250"/>
      <c r="AE158" s="251"/>
      <c r="AF158" s="31"/>
      <c r="AG158" s="81"/>
      <c r="AH158" s="81"/>
      <c r="AI158" s="81"/>
      <c r="AJ158" s="81"/>
      <c r="AK158" s="81"/>
    </row>
    <row r="159" spans="1:37" s="19" customFormat="1" ht="30.75" customHeight="1">
      <c r="A159" s="262"/>
      <c r="B159" s="263"/>
      <c r="C159" s="258"/>
      <c r="D159" s="258"/>
      <c r="E159" s="258"/>
      <c r="F159" s="258"/>
      <c r="G159" s="258"/>
      <c r="H159" s="250"/>
      <c r="I159" s="256"/>
      <c r="J159" s="250"/>
      <c r="K159" s="250"/>
      <c r="L159" s="258"/>
      <c r="M159" s="272"/>
      <c r="N159" s="250"/>
      <c r="O159" s="250"/>
      <c r="P159" s="250"/>
      <c r="Q159" s="250"/>
      <c r="R159" s="250"/>
      <c r="S159" s="250"/>
      <c r="T159" s="250"/>
      <c r="U159" s="65" t="s">
        <v>450</v>
      </c>
      <c r="V159" s="126"/>
      <c r="W159" s="126"/>
      <c r="X159" s="117" t="s">
        <v>396</v>
      </c>
      <c r="Y159" s="118">
        <v>30</v>
      </c>
      <c r="Z159" s="62"/>
      <c r="AA159" s="84"/>
      <c r="AB159" s="68"/>
      <c r="AC159" s="118"/>
      <c r="AD159" s="250"/>
      <c r="AE159" s="251"/>
      <c r="AF159" s="31"/>
      <c r="AG159" s="81"/>
      <c r="AH159" s="81"/>
      <c r="AI159" s="81"/>
      <c r="AJ159" s="81"/>
      <c r="AK159" s="81"/>
    </row>
    <row r="160" spans="1:37" s="19" customFormat="1" ht="21.75" customHeight="1">
      <c r="A160" s="262"/>
      <c r="B160" s="263"/>
      <c r="C160" s="258"/>
      <c r="D160" s="258"/>
      <c r="E160" s="258"/>
      <c r="F160" s="258"/>
      <c r="G160" s="258"/>
      <c r="H160" s="250"/>
      <c r="I160" s="256"/>
      <c r="J160" s="250"/>
      <c r="K160" s="250"/>
      <c r="L160" s="258"/>
      <c r="M160" s="272"/>
      <c r="N160" s="250"/>
      <c r="O160" s="250"/>
      <c r="P160" s="250"/>
      <c r="Q160" s="250"/>
      <c r="R160" s="250"/>
      <c r="S160" s="250"/>
      <c r="T160" s="250"/>
      <c r="U160" s="67" t="s">
        <v>424</v>
      </c>
      <c r="V160" s="126"/>
      <c r="W160" s="126"/>
      <c r="X160" s="117" t="s">
        <v>396</v>
      </c>
      <c r="Y160" s="118">
        <v>30</v>
      </c>
      <c r="Z160" s="62">
        <v>150000</v>
      </c>
      <c r="AA160" s="79"/>
      <c r="AB160" s="80">
        <v>0</v>
      </c>
      <c r="AC160" s="118">
        <f t="shared" ref="AC160:AC162" si="25">Y160*Z160*AB160</f>
        <v>0</v>
      </c>
      <c r="AD160" s="250"/>
      <c r="AE160" s="251"/>
      <c r="AF160" s="31"/>
      <c r="AG160" s="81"/>
      <c r="AH160" s="81"/>
      <c r="AI160" s="81"/>
      <c r="AJ160" s="81"/>
      <c r="AK160" s="81"/>
    </row>
    <row r="161" spans="1:37" s="19" customFormat="1" ht="28.5" customHeight="1">
      <c r="A161" s="262">
        <v>20</v>
      </c>
      <c r="B161" s="263" t="s">
        <v>636</v>
      </c>
      <c r="C161" s="258" t="s">
        <v>33</v>
      </c>
      <c r="D161" s="258">
        <v>64</v>
      </c>
      <c r="E161" s="258">
        <v>491</v>
      </c>
      <c r="F161" s="258">
        <v>1055.3</v>
      </c>
      <c r="G161" s="258" t="s">
        <v>28</v>
      </c>
      <c r="H161" s="256">
        <v>1055.7</v>
      </c>
      <c r="I161" s="256">
        <f>F161-H161</f>
        <v>-0.40000000000009095</v>
      </c>
      <c r="J161" s="256">
        <v>1055.7</v>
      </c>
      <c r="K161" s="250">
        <v>1800</v>
      </c>
      <c r="L161" s="258"/>
      <c r="M161" s="272">
        <f>J161/K161*100</f>
        <v>58.650000000000006</v>
      </c>
      <c r="N161" s="250">
        <v>6</v>
      </c>
      <c r="O161" s="250">
        <v>4</v>
      </c>
      <c r="P161" s="250">
        <v>80000</v>
      </c>
      <c r="Q161" s="250">
        <f>P161*J161</f>
        <v>84456000</v>
      </c>
      <c r="R161" s="250">
        <f>Q161*3</f>
        <v>253368000</v>
      </c>
      <c r="S161" s="250">
        <f>N161*O161*17000*30</f>
        <v>12240000</v>
      </c>
      <c r="T161" s="250">
        <f>SUM(Q161:S162)</f>
        <v>350064000</v>
      </c>
      <c r="U161" s="82" t="s">
        <v>446</v>
      </c>
      <c r="V161" s="126"/>
      <c r="W161" s="126"/>
      <c r="X161" s="117" t="s">
        <v>0</v>
      </c>
      <c r="Y161" s="83">
        <v>1055</v>
      </c>
      <c r="Z161" s="62">
        <v>180000</v>
      </c>
      <c r="AA161" s="84"/>
      <c r="AB161" s="68">
        <v>1</v>
      </c>
      <c r="AC161" s="118">
        <f t="shared" si="25"/>
        <v>189900000</v>
      </c>
      <c r="AD161" s="250">
        <f>SUM(AC161:AC162)</f>
        <v>189900000</v>
      </c>
      <c r="AE161" s="251">
        <f>T161+AD161</f>
        <v>539964000</v>
      </c>
      <c r="AF161" s="31"/>
      <c r="AG161" s="81"/>
      <c r="AH161" s="81"/>
      <c r="AI161" s="81"/>
      <c r="AJ161" s="81"/>
      <c r="AK161" s="81"/>
    </row>
    <row r="162" spans="1:37" s="19" customFormat="1" ht="28.5" customHeight="1">
      <c r="A162" s="262"/>
      <c r="B162" s="263"/>
      <c r="C162" s="258"/>
      <c r="D162" s="258"/>
      <c r="E162" s="258"/>
      <c r="F162" s="258"/>
      <c r="G162" s="258"/>
      <c r="H162" s="256"/>
      <c r="I162" s="256"/>
      <c r="J162" s="256"/>
      <c r="K162" s="250"/>
      <c r="L162" s="258"/>
      <c r="M162" s="272"/>
      <c r="N162" s="250"/>
      <c r="O162" s="250"/>
      <c r="P162" s="250"/>
      <c r="Q162" s="250"/>
      <c r="R162" s="250"/>
      <c r="S162" s="250"/>
      <c r="T162" s="250"/>
      <c r="U162" s="124" t="s">
        <v>504</v>
      </c>
      <c r="V162" s="126"/>
      <c r="W162" s="126"/>
      <c r="X162" s="117" t="s">
        <v>399</v>
      </c>
      <c r="Y162" s="114">
        <v>1</v>
      </c>
      <c r="Z162" s="62"/>
      <c r="AA162" s="84"/>
      <c r="AB162" s="80">
        <v>0</v>
      </c>
      <c r="AC162" s="118">
        <f t="shared" si="25"/>
        <v>0</v>
      </c>
      <c r="AD162" s="250"/>
      <c r="AE162" s="251"/>
      <c r="AF162" s="31"/>
      <c r="AG162" s="81"/>
      <c r="AH162" s="81"/>
      <c r="AI162" s="81"/>
      <c r="AJ162" s="81"/>
      <c r="AK162" s="81"/>
    </row>
    <row r="163" spans="1:37" s="19" customFormat="1" ht="24" customHeight="1">
      <c r="A163" s="262">
        <v>21</v>
      </c>
      <c r="B163" s="271" t="s">
        <v>615</v>
      </c>
      <c r="C163" s="258" t="s">
        <v>39</v>
      </c>
      <c r="D163" s="258">
        <v>64</v>
      </c>
      <c r="E163" s="258">
        <v>488</v>
      </c>
      <c r="F163" s="258">
        <v>288.10000000000002</v>
      </c>
      <c r="G163" s="258" t="s">
        <v>28</v>
      </c>
      <c r="H163" s="250">
        <v>288</v>
      </c>
      <c r="I163" s="256">
        <f>F163-H163</f>
        <v>0.10000000000002274</v>
      </c>
      <c r="J163" s="270">
        <f>H163+H166</f>
        <v>839.7</v>
      </c>
      <c r="K163" s="250">
        <v>1080</v>
      </c>
      <c r="L163" s="250"/>
      <c r="M163" s="256">
        <f>J163/K163*100</f>
        <v>77.750000000000014</v>
      </c>
      <c r="N163" s="250">
        <v>12</v>
      </c>
      <c r="O163" s="250">
        <v>6</v>
      </c>
      <c r="P163" s="250">
        <v>80000</v>
      </c>
      <c r="Q163" s="250">
        <f>P163*J163</f>
        <v>67176000</v>
      </c>
      <c r="R163" s="250">
        <f>Q163*3</f>
        <v>201528000</v>
      </c>
      <c r="S163" s="250">
        <f>N163*O163*17000*30</f>
        <v>36720000</v>
      </c>
      <c r="T163" s="250">
        <f>SUM(Q163:S166)</f>
        <v>305424000</v>
      </c>
      <c r="U163" s="82" t="s">
        <v>556</v>
      </c>
      <c r="V163" s="126"/>
      <c r="W163" s="126"/>
      <c r="X163" s="117" t="s">
        <v>0</v>
      </c>
      <c r="Y163" s="83">
        <v>180</v>
      </c>
      <c r="Z163" s="62">
        <v>200000</v>
      </c>
      <c r="AA163" s="84"/>
      <c r="AB163" s="68">
        <v>1</v>
      </c>
      <c r="AC163" s="118">
        <f>Y163*Z163*AB163</f>
        <v>36000000</v>
      </c>
      <c r="AD163" s="250">
        <f>SUM(AC163:AC165)</f>
        <v>37200000</v>
      </c>
      <c r="AE163" s="251">
        <f>T163+AD163+AD166</f>
        <v>429024000</v>
      </c>
      <c r="AF163" s="31"/>
      <c r="AG163" s="81"/>
      <c r="AH163" s="81"/>
      <c r="AI163" s="81"/>
      <c r="AJ163" s="81"/>
      <c r="AK163" s="81"/>
    </row>
    <row r="164" spans="1:37" s="19" customFormat="1" ht="37.5" customHeight="1">
      <c r="A164" s="262"/>
      <c r="B164" s="271"/>
      <c r="C164" s="258"/>
      <c r="D164" s="258"/>
      <c r="E164" s="258"/>
      <c r="F164" s="258"/>
      <c r="G164" s="258"/>
      <c r="H164" s="250"/>
      <c r="I164" s="256"/>
      <c r="J164" s="270"/>
      <c r="K164" s="250"/>
      <c r="L164" s="250"/>
      <c r="M164" s="256"/>
      <c r="N164" s="250"/>
      <c r="O164" s="250"/>
      <c r="P164" s="250"/>
      <c r="Q164" s="250"/>
      <c r="R164" s="250"/>
      <c r="S164" s="250"/>
      <c r="T164" s="250"/>
      <c r="U164" s="65" t="s">
        <v>637</v>
      </c>
      <c r="V164" s="126">
        <v>10</v>
      </c>
      <c r="W164" s="126">
        <f>(H163-Y163)/V164</f>
        <v>10.8</v>
      </c>
      <c r="X164" s="117" t="s">
        <v>2</v>
      </c>
      <c r="Y164" s="118">
        <v>5</v>
      </c>
      <c r="Z164" s="62"/>
      <c r="AA164" s="79"/>
      <c r="AB164" s="80"/>
      <c r="AC164" s="118"/>
      <c r="AD164" s="250"/>
      <c r="AE164" s="251"/>
      <c r="AF164" s="31"/>
      <c r="AG164" s="81"/>
      <c r="AH164" s="81"/>
      <c r="AI164" s="81"/>
      <c r="AJ164" s="81"/>
      <c r="AK164" s="81"/>
    </row>
    <row r="165" spans="1:37" s="19" customFormat="1" ht="22.5" customHeight="1">
      <c r="A165" s="262"/>
      <c r="B165" s="271"/>
      <c r="C165" s="258"/>
      <c r="D165" s="258"/>
      <c r="E165" s="258"/>
      <c r="F165" s="258"/>
      <c r="G165" s="258"/>
      <c r="H165" s="250"/>
      <c r="I165" s="256"/>
      <c r="J165" s="270"/>
      <c r="K165" s="250"/>
      <c r="L165" s="250"/>
      <c r="M165" s="256"/>
      <c r="N165" s="250"/>
      <c r="O165" s="250"/>
      <c r="P165" s="250"/>
      <c r="Q165" s="250"/>
      <c r="R165" s="250"/>
      <c r="S165" s="250"/>
      <c r="T165" s="250"/>
      <c r="U165" s="67" t="s">
        <v>421</v>
      </c>
      <c r="V165" s="126"/>
      <c r="W165" s="126"/>
      <c r="X165" s="117" t="s">
        <v>2</v>
      </c>
      <c r="Y165" s="118">
        <v>5</v>
      </c>
      <c r="Z165" s="62">
        <v>240000</v>
      </c>
      <c r="AA165" s="79"/>
      <c r="AB165" s="80">
        <v>1</v>
      </c>
      <c r="AC165" s="118">
        <f t="shared" ref="AC165:AC166" si="26">Y165*Z165*AB165</f>
        <v>1200000</v>
      </c>
      <c r="AD165" s="250"/>
      <c r="AE165" s="251"/>
      <c r="AF165" s="31"/>
      <c r="AG165" s="81"/>
      <c r="AH165" s="81"/>
      <c r="AI165" s="81"/>
      <c r="AJ165" s="81"/>
      <c r="AK165" s="81"/>
    </row>
    <row r="166" spans="1:37" s="19" customFormat="1" ht="40.5" customHeight="1">
      <c r="A166" s="262"/>
      <c r="B166" s="271"/>
      <c r="C166" s="119"/>
      <c r="D166" s="119">
        <v>64</v>
      </c>
      <c r="E166" s="119">
        <v>820</v>
      </c>
      <c r="F166" s="119">
        <v>551.20000000000005</v>
      </c>
      <c r="G166" s="119" t="s">
        <v>28</v>
      </c>
      <c r="H166" s="70">
        <v>551.70000000000005</v>
      </c>
      <c r="I166" s="127">
        <f>F166-H166</f>
        <v>-0.5</v>
      </c>
      <c r="J166" s="270"/>
      <c r="K166" s="250"/>
      <c r="L166" s="250"/>
      <c r="M166" s="256"/>
      <c r="N166" s="250"/>
      <c r="O166" s="250"/>
      <c r="P166" s="250"/>
      <c r="Q166" s="250"/>
      <c r="R166" s="250"/>
      <c r="S166" s="250"/>
      <c r="T166" s="250"/>
      <c r="U166" s="82" t="s">
        <v>556</v>
      </c>
      <c r="V166" s="126"/>
      <c r="W166" s="126"/>
      <c r="X166" s="117" t="s">
        <v>0</v>
      </c>
      <c r="Y166" s="83">
        <v>432</v>
      </c>
      <c r="Z166" s="62">
        <v>200000</v>
      </c>
      <c r="AA166" s="84"/>
      <c r="AB166" s="68">
        <v>1</v>
      </c>
      <c r="AC166" s="118">
        <f t="shared" si="26"/>
        <v>86400000</v>
      </c>
      <c r="AD166" s="118">
        <f>SUM(AC166:AC166)</f>
        <v>86400000</v>
      </c>
      <c r="AE166" s="251"/>
      <c r="AF166" s="31"/>
      <c r="AG166" s="81"/>
      <c r="AH166" s="81"/>
      <c r="AI166" s="81"/>
      <c r="AJ166" s="81"/>
      <c r="AK166" s="81"/>
    </row>
    <row r="167" spans="1:37" s="28" customFormat="1" ht="32.25" customHeight="1">
      <c r="A167" s="262">
        <v>22</v>
      </c>
      <c r="B167" s="263" t="s">
        <v>662</v>
      </c>
      <c r="C167" s="119"/>
      <c r="D167" s="258">
        <v>64</v>
      </c>
      <c r="E167" s="258">
        <v>594</v>
      </c>
      <c r="F167" s="258">
        <v>180.1</v>
      </c>
      <c r="G167" s="258" t="s">
        <v>28</v>
      </c>
      <c r="H167" s="250">
        <v>180</v>
      </c>
      <c r="I167" s="256">
        <f>F167-H167</f>
        <v>9.9999999999994316E-2</v>
      </c>
      <c r="J167" s="268">
        <v>180</v>
      </c>
      <c r="K167" s="268">
        <v>1800</v>
      </c>
      <c r="L167" s="119"/>
      <c r="M167" s="269">
        <f>J167/K167*100</f>
        <v>10</v>
      </c>
      <c r="N167" s="264">
        <v>3</v>
      </c>
      <c r="O167" s="264">
        <v>3</v>
      </c>
      <c r="P167" s="264">
        <v>80000</v>
      </c>
      <c r="Q167" s="264">
        <f>P167*J167</f>
        <v>14400000</v>
      </c>
      <c r="R167" s="264">
        <f>Q167*3</f>
        <v>43200000</v>
      </c>
      <c r="S167" s="264">
        <f>N167*O167*17000*30</f>
        <v>4590000</v>
      </c>
      <c r="T167" s="264">
        <f>SUM(Q167:S178)</f>
        <v>62190000</v>
      </c>
      <c r="U167" s="65" t="s">
        <v>663</v>
      </c>
      <c r="V167" s="50">
        <v>10</v>
      </c>
      <c r="W167" s="50">
        <f>(J167-37)/V167</f>
        <v>14.3</v>
      </c>
      <c r="X167" s="117" t="s">
        <v>2</v>
      </c>
      <c r="Y167" s="118">
        <v>30</v>
      </c>
      <c r="Z167" s="62"/>
      <c r="AA167" s="79"/>
      <c r="AB167" s="80"/>
      <c r="AC167" s="118">
        <f>Y167*Z167*AB167</f>
        <v>0</v>
      </c>
      <c r="AD167" s="250">
        <f>SUM(AC167:AC178)</f>
        <v>4836000</v>
      </c>
      <c r="AE167" s="251">
        <f>T167+AD167</f>
        <v>67026000</v>
      </c>
      <c r="AF167" s="103">
        <f>Y167*10</f>
        <v>300</v>
      </c>
      <c r="AG167" s="265" t="s">
        <v>664</v>
      </c>
      <c r="AH167" s="103" t="s">
        <v>398</v>
      </c>
      <c r="AI167" s="259" t="s">
        <v>665</v>
      </c>
      <c r="AJ167" s="253" t="s">
        <v>681</v>
      </c>
      <c r="AK167" s="103"/>
    </row>
    <row r="168" spans="1:37" s="28" customFormat="1" ht="19.5" customHeight="1">
      <c r="A168" s="262"/>
      <c r="B168" s="263"/>
      <c r="C168" s="119"/>
      <c r="D168" s="258"/>
      <c r="E168" s="258"/>
      <c r="F168" s="258"/>
      <c r="G168" s="258"/>
      <c r="H168" s="250"/>
      <c r="I168" s="256"/>
      <c r="J168" s="268"/>
      <c r="K168" s="268"/>
      <c r="L168" s="119"/>
      <c r="M168" s="269"/>
      <c r="N168" s="264"/>
      <c r="O168" s="264"/>
      <c r="P168" s="264"/>
      <c r="Q168" s="264"/>
      <c r="R168" s="264"/>
      <c r="S168" s="264"/>
      <c r="T168" s="264"/>
      <c r="U168" s="67" t="s">
        <v>421</v>
      </c>
      <c r="V168" s="50"/>
      <c r="W168" s="50"/>
      <c r="X168" s="117" t="s">
        <v>2</v>
      </c>
      <c r="Y168" s="118">
        <v>14</v>
      </c>
      <c r="Z168" s="62">
        <v>240000</v>
      </c>
      <c r="AA168" s="79"/>
      <c r="AB168" s="80">
        <v>1</v>
      </c>
      <c r="AC168" s="118">
        <f>Y168*Z168*AB168</f>
        <v>3360000</v>
      </c>
      <c r="AD168" s="250"/>
      <c r="AE168" s="251"/>
      <c r="AF168" s="103"/>
      <c r="AG168" s="266"/>
      <c r="AH168" s="103"/>
      <c r="AI168" s="260"/>
      <c r="AJ168" s="254"/>
      <c r="AK168" s="103"/>
    </row>
    <row r="169" spans="1:37" s="28" customFormat="1" ht="19.5" customHeight="1">
      <c r="A169" s="262"/>
      <c r="B169" s="263"/>
      <c r="C169" s="119"/>
      <c r="D169" s="258"/>
      <c r="E169" s="258"/>
      <c r="F169" s="258"/>
      <c r="G169" s="258"/>
      <c r="H169" s="250"/>
      <c r="I169" s="256"/>
      <c r="J169" s="268"/>
      <c r="K169" s="268"/>
      <c r="L169" s="119"/>
      <c r="M169" s="269"/>
      <c r="N169" s="264"/>
      <c r="O169" s="264"/>
      <c r="P169" s="264"/>
      <c r="Q169" s="264"/>
      <c r="R169" s="264"/>
      <c r="S169" s="264"/>
      <c r="T169" s="264"/>
      <c r="U169" s="67" t="s">
        <v>423</v>
      </c>
      <c r="V169" s="50"/>
      <c r="W169" s="50">
        <f>0.3*(40-14)</f>
        <v>7.8</v>
      </c>
      <c r="X169" s="117" t="s">
        <v>2</v>
      </c>
      <c r="Y169" s="118">
        <v>8</v>
      </c>
      <c r="Z169" s="62">
        <v>240000</v>
      </c>
      <c r="AA169" s="79"/>
      <c r="AB169" s="80">
        <v>0.3</v>
      </c>
      <c r="AC169" s="118">
        <f>Y169*Z169*AB169</f>
        <v>576000</v>
      </c>
      <c r="AD169" s="250"/>
      <c r="AE169" s="251"/>
      <c r="AF169" s="103"/>
      <c r="AG169" s="266"/>
      <c r="AH169" s="103"/>
      <c r="AI169" s="260"/>
      <c r="AJ169" s="254"/>
      <c r="AK169" s="103"/>
    </row>
    <row r="170" spans="1:37" s="28" customFormat="1" ht="19.5" customHeight="1">
      <c r="A170" s="262"/>
      <c r="B170" s="263"/>
      <c r="C170" s="119"/>
      <c r="D170" s="258"/>
      <c r="E170" s="258"/>
      <c r="F170" s="258"/>
      <c r="G170" s="258"/>
      <c r="H170" s="250"/>
      <c r="I170" s="256"/>
      <c r="J170" s="268"/>
      <c r="K170" s="268"/>
      <c r="L170" s="119"/>
      <c r="M170" s="269"/>
      <c r="N170" s="264"/>
      <c r="O170" s="264"/>
      <c r="P170" s="264"/>
      <c r="Q170" s="264"/>
      <c r="R170" s="264"/>
      <c r="S170" s="264"/>
      <c r="T170" s="264"/>
      <c r="U170" s="67" t="s">
        <v>424</v>
      </c>
      <c r="V170" s="50"/>
      <c r="W170" s="50"/>
      <c r="X170" s="117" t="s">
        <v>2</v>
      </c>
      <c r="Y170" s="118">
        <f>Y167-Y168-Y169</f>
        <v>8</v>
      </c>
      <c r="Z170" s="62">
        <v>240000</v>
      </c>
      <c r="AA170" s="79"/>
      <c r="AB170" s="80">
        <v>0</v>
      </c>
      <c r="AC170" s="118">
        <f t="shared" ref="AC170" si="27">Y170*Z170*AB170/100</f>
        <v>0</v>
      </c>
      <c r="AD170" s="250"/>
      <c r="AE170" s="251"/>
      <c r="AF170" s="103"/>
      <c r="AG170" s="266"/>
      <c r="AH170" s="103"/>
      <c r="AI170" s="260"/>
      <c r="AJ170" s="254"/>
      <c r="AK170" s="103"/>
    </row>
    <row r="171" spans="1:37" s="28" customFormat="1" ht="36.75" customHeight="1">
      <c r="A171" s="262"/>
      <c r="B171" s="263"/>
      <c r="C171" s="119"/>
      <c r="D171" s="258"/>
      <c r="E171" s="258"/>
      <c r="F171" s="258"/>
      <c r="G171" s="258"/>
      <c r="H171" s="250"/>
      <c r="I171" s="256"/>
      <c r="J171" s="268"/>
      <c r="K171" s="268"/>
      <c r="L171" s="119"/>
      <c r="M171" s="269"/>
      <c r="N171" s="264"/>
      <c r="O171" s="264"/>
      <c r="P171" s="264"/>
      <c r="Q171" s="264"/>
      <c r="R171" s="264"/>
      <c r="S171" s="264"/>
      <c r="T171" s="264"/>
      <c r="U171" s="65" t="s">
        <v>666</v>
      </c>
      <c r="V171" s="50"/>
      <c r="W171" s="50"/>
      <c r="X171" s="117" t="s">
        <v>2</v>
      </c>
      <c r="Y171" s="118">
        <v>10</v>
      </c>
      <c r="Z171" s="62"/>
      <c r="AA171" s="79"/>
      <c r="AB171" s="80"/>
      <c r="AC171" s="118">
        <f>Y171*Z171*AB171</f>
        <v>0</v>
      </c>
      <c r="AD171" s="250"/>
      <c r="AE171" s="251"/>
      <c r="AF171" s="103"/>
      <c r="AG171" s="266"/>
      <c r="AH171" s="103"/>
      <c r="AI171" s="260"/>
      <c r="AJ171" s="254"/>
      <c r="AK171" s="103"/>
    </row>
    <row r="172" spans="1:37" s="28" customFormat="1" ht="22.5" customHeight="1">
      <c r="A172" s="262"/>
      <c r="B172" s="263"/>
      <c r="C172" s="119"/>
      <c r="D172" s="258"/>
      <c r="E172" s="258"/>
      <c r="F172" s="258"/>
      <c r="G172" s="258"/>
      <c r="H172" s="250"/>
      <c r="I172" s="256"/>
      <c r="J172" s="268"/>
      <c r="K172" s="268"/>
      <c r="L172" s="119"/>
      <c r="M172" s="269"/>
      <c r="N172" s="264"/>
      <c r="O172" s="264"/>
      <c r="P172" s="264"/>
      <c r="Q172" s="264"/>
      <c r="R172" s="264"/>
      <c r="S172" s="264"/>
      <c r="T172" s="264"/>
      <c r="U172" s="67" t="s">
        <v>424</v>
      </c>
      <c r="V172" s="50"/>
      <c r="W172" s="50"/>
      <c r="X172" s="117" t="s">
        <v>2</v>
      </c>
      <c r="Y172" s="118">
        <v>10</v>
      </c>
      <c r="Z172" s="62">
        <v>95000</v>
      </c>
      <c r="AA172" s="79"/>
      <c r="AB172" s="80">
        <v>0</v>
      </c>
      <c r="AC172" s="118">
        <f>Y172*Z172*AB172</f>
        <v>0</v>
      </c>
      <c r="AD172" s="250"/>
      <c r="AE172" s="251"/>
      <c r="AF172" s="103"/>
      <c r="AG172" s="266"/>
      <c r="AH172" s="103"/>
      <c r="AI172" s="260"/>
      <c r="AJ172" s="254"/>
      <c r="AK172" s="103"/>
    </row>
    <row r="173" spans="1:37" s="28" customFormat="1" ht="32.25" customHeight="1">
      <c r="A173" s="262"/>
      <c r="B173" s="263"/>
      <c r="C173" s="119"/>
      <c r="D173" s="258"/>
      <c r="E173" s="258"/>
      <c r="F173" s="258"/>
      <c r="G173" s="258"/>
      <c r="H173" s="250"/>
      <c r="I173" s="256"/>
      <c r="J173" s="268"/>
      <c r="K173" s="268"/>
      <c r="L173" s="119"/>
      <c r="M173" s="269"/>
      <c r="N173" s="264"/>
      <c r="O173" s="264"/>
      <c r="P173" s="264"/>
      <c r="Q173" s="264"/>
      <c r="R173" s="264"/>
      <c r="S173" s="264"/>
      <c r="T173" s="264"/>
      <c r="U173" s="65" t="s">
        <v>667</v>
      </c>
      <c r="V173" s="50">
        <v>20</v>
      </c>
      <c r="W173" s="50">
        <f>0.3*J167/V173</f>
        <v>2.7</v>
      </c>
      <c r="X173" s="117" t="s">
        <v>2</v>
      </c>
      <c r="Y173" s="118">
        <v>1</v>
      </c>
      <c r="Z173" s="62"/>
      <c r="AA173" s="79"/>
      <c r="AB173" s="80"/>
      <c r="AC173" s="118">
        <f>Y173*Z173*AB173</f>
        <v>0</v>
      </c>
      <c r="AD173" s="250"/>
      <c r="AE173" s="251"/>
      <c r="AF173" s="103"/>
      <c r="AG173" s="266"/>
      <c r="AH173" s="103" t="s">
        <v>668</v>
      </c>
      <c r="AI173" s="260"/>
      <c r="AJ173" s="254"/>
      <c r="AK173" s="103"/>
    </row>
    <row r="174" spans="1:37" s="28" customFormat="1" ht="26.25" customHeight="1">
      <c r="A174" s="262"/>
      <c r="B174" s="263"/>
      <c r="C174" s="119"/>
      <c r="D174" s="258"/>
      <c r="E174" s="258"/>
      <c r="F174" s="258"/>
      <c r="G174" s="258"/>
      <c r="H174" s="250"/>
      <c r="I174" s="256"/>
      <c r="J174" s="268"/>
      <c r="K174" s="268"/>
      <c r="L174" s="119"/>
      <c r="M174" s="269"/>
      <c r="N174" s="264"/>
      <c r="O174" s="264"/>
      <c r="P174" s="264"/>
      <c r="Q174" s="264"/>
      <c r="R174" s="264"/>
      <c r="S174" s="264"/>
      <c r="T174" s="264"/>
      <c r="U174" s="67" t="s">
        <v>669</v>
      </c>
      <c r="V174" s="50"/>
      <c r="W174" s="50"/>
      <c r="X174" s="117" t="s">
        <v>2</v>
      </c>
      <c r="Y174" s="118">
        <v>1</v>
      </c>
      <c r="Z174" s="62">
        <v>3000000</v>
      </c>
      <c r="AA174" s="79"/>
      <c r="AB174" s="80">
        <v>0.3</v>
      </c>
      <c r="AC174" s="118">
        <f>Y174*Z174*AB174</f>
        <v>900000</v>
      </c>
      <c r="AD174" s="250"/>
      <c r="AE174" s="251"/>
      <c r="AF174" s="103"/>
      <c r="AG174" s="266"/>
      <c r="AH174" s="103"/>
      <c r="AI174" s="260"/>
      <c r="AJ174" s="254"/>
      <c r="AK174" s="103"/>
    </row>
    <row r="175" spans="1:37" s="28" customFormat="1" ht="56.25" customHeight="1">
      <c r="A175" s="262"/>
      <c r="B175" s="263"/>
      <c r="C175" s="119"/>
      <c r="D175" s="258"/>
      <c r="E175" s="258"/>
      <c r="F175" s="258"/>
      <c r="G175" s="258"/>
      <c r="H175" s="250"/>
      <c r="I175" s="256"/>
      <c r="J175" s="268"/>
      <c r="K175" s="268"/>
      <c r="L175" s="119"/>
      <c r="M175" s="269"/>
      <c r="N175" s="264"/>
      <c r="O175" s="264"/>
      <c r="P175" s="264"/>
      <c r="Q175" s="264"/>
      <c r="R175" s="264"/>
      <c r="S175" s="264"/>
      <c r="T175" s="264"/>
      <c r="U175" s="120" t="s">
        <v>670</v>
      </c>
      <c r="V175" s="117"/>
      <c r="W175" s="117"/>
      <c r="X175" s="117" t="s">
        <v>6</v>
      </c>
      <c r="Y175" s="114">
        <v>76</v>
      </c>
      <c r="Z175" s="123"/>
      <c r="AA175" s="79"/>
      <c r="AB175" s="80">
        <v>0</v>
      </c>
      <c r="AC175" s="118">
        <f t="shared" ref="AC175:AC178" si="28">Y175*Z175*AB175/100</f>
        <v>0</v>
      </c>
      <c r="AD175" s="250"/>
      <c r="AE175" s="251"/>
      <c r="AF175" s="103"/>
      <c r="AG175" s="266"/>
      <c r="AH175" s="103"/>
      <c r="AI175" s="260"/>
      <c r="AJ175" s="254"/>
      <c r="AK175" s="103"/>
    </row>
    <row r="176" spans="1:37" s="28" customFormat="1" ht="31.5" customHeight="1">
      <c r="A176" s="262"/>
      <c r="B176" s="263"/>
      <c r="C176" s="119"/>
      <c r="D176" s="258"/>
      <c r="E176" s="258"/>
      <c r="F176" s="258"/>
      <c r="G176" s="258"/>
      <c r="H176" s="250"/>
      <c r="I176" s="256"/>
      <c r="J176" s="268"/>
      <c r="K176" s="268"/>
      <c r="L176" s="119"/>
      <c r="M176" s="269"/>
      <c r="N176" s="264"/>
      <c r="O176" s="264"/>
      <c r="P176" s="264"/>
      <c r="Q176" s="264"/>
      <c r="R176" s="264"/>
      <c r="S176" s="264"/>
      <c r="T176" s="264"/>
      <c r="U176" s="124" t="s">
        <v>671</v>
      </c>
      <c r="V176" s="117"/>
      <c r="W176" s="117"/>
      <c r="X176" s="41" t="s">
        <v>8</v>
      </c>
      <c r="Y176" s="114">
        <v>0.64</v>
      </c>
      <c r="Z176" s="123"/>
      <c r="AA176" s="79"/>
      <c r="AB176" s="80">
        <v>0</v>
      </c>
      <c r="AC176" s="118">
        <f t="shared" si="28"/>
        <v>0</v>
      </c>
      <c r="AD176" s="250"/>
      <c r="AE176" s="251"/>
      <c r="AF176" s="103"/>
      <c r="AG176" s="266"/>
      <c r="AH176" s="103"/>
      <c r="AI176" s="260"/>
      <c r="AJ176" s="254"/>
      <c r="AK176" s="103"/>
    </row>
    <row r="177" spans="1:37" s="28" customFormat="1" ht="21" customHeight="1">
      <c r="A177" s="262"/>
      <c r="B177" s="263"/>
      <c r="C177" s="119"/>
      <c r="D177" s="258"/>
      <c r="E177" s="258"/>
      <c r="F177" s="258"/>
      <c r="G177" s="258"/>
      <c r="H177" s="250"/>
      <c r="I177" s="256"/>
      <c r="J177" s="268"/>
      <c r="K177" s="268"/>
      <c r="L177" s="119"/>
      <c r="M177" s="269"/>
      <c r="N177" s="264"/>
      <c r="O177" s="264"/>
      <c r="P177" s="264"/>
      <c r="Q177" s="264"/>
      <c r="R177" s="264"/>
      <c r="S177" s="264"/>
      <c r="T177" s="264"/>
      <c r="U177" s="124" t="s">
        <v>672</v>
      </c>
      <c r="V177" s="117"/>
      <c r="W177" s="117"/>
      <c r="X177" s="117" t="s">
        <v>6</v>
      </c>
      <c r="Y177" s="114">
        <v>37</v>
      </c>
      <c r="Z177" s="123"/>
      <c r="AA177" s="79"/>
      <c r="AB177" s="80">
        <v>0</v>
      </c>
      <c r="AC177" s="118"/>
      <c r="AD177" s="250"/>
      <c r="AE177" s="251"/>
      <c r="AF177" s="103"/>
      <c r="AG177" s="266"/>
      <c r="AH177" s="103"/>
      <c r="AI177" s="260"/>
      <c r="AJ177" s="254"/>
      <c r="AK177" s="103"/>
    </row>
    <row r="178" spans="1:37" s="28" customFormat="1" ht="55.5" customHeight="1">
      <c r="A178" s="262"/>
      <c r="B178" s="263"/>
      <c r="C178" s="117" t="s">
        <v>33</v>
      </c>
      <c r="D178" s="258"/>
      <c r="E178" s="258"/>
      <c r="F178" s="258"/>
      <c r="G178" s="258"/>
      <c r="H178" s="250"/>
      <c r="I178" s="256"/>
      <c r="J178" s="268"/>
      <c r="K178" s="268"/>
      <c r="L178" s="117"/>
      <c r="M178" s="269"/>
      <c r="N178" s="264"/>
      <c r="O178" s="264"/>
      <c r="P178" s="264"/>
      <c r="Q178" s="264"/>
      <c r="R178" s="264"/>
      <c r="S178" s="264"/>
      <c r="T178" s="264"/>
      <c r="U178" s="124" t="s">
        <v>673</v>
      </c>
      <c r="V178" s="117"/>
      <c r="W178" s="117"/>
      <c r="X178" s="117" t="s">
        <v>6</v>
      </c>
      <c r="Y178" s="114">
        <v>6</v>
      </c>
      <c r="Z178" s="123"/>
      <c r="AA178" s="79"/>
      <c r="AB178" s="80">
        <v>0</v>
      </c>
      <c r="AC178" s="118">
        <f t="shared" si="28"/>
        <v>0</v>
      </c>
      <c r="AD178" s="250"/>
      <c r="AE178" s="251"/>
      <c r="AF178" s="103"/>
      <c r="AG178" s="267"/>
      <c r="AH178" s="103"/>
      <c r="AI178" s="261"/>
      <c r="AJ178" s="255"/>
      <c r="AK178" s="103"/>
    </row>
    <row r="179" spans="1:37" s="28" customFormat="1" ht="39" customHeight="1">
      <c r="A179" s="262">
        <v>23</v>
      </c>
      <c r="B179" s="263" t="s">
        <v>674</v>
      </c>
      <c r="C179" s="258" t="s">
        <v>39</v>
      </c>
      <c r="D179" s="258">
        <v>64</v>
      </c>
      <c r="E179" s="258">
        <v>486</v>
      </c>
      <c r="F179" s="258">
        <v>1093.3</v>
      </c>
      <c r="G179" s="258" t="s">
        <v>28</v>
      </c>
      <c r="H179" s="256">
        <v>1093.5</v>
      </c>
      <c r="I179" s="256">
        <f>F179-H179</f>
        <v>-0.20000000000004547</v>
      </c>
      <c r="J179" s="257">
        <v>1093.3</v>
      </c>
      <c r="K179" s="251">
        <v>1800</v>
      </c>
      <c r="L179" s="258"/>
      <c r="M179" s="258">
        <f>J179/K179*100</f>
        <v>60.738888888888887</v>
      </c>
      <c r="N179" s="250">
        <v>6</v>
      </c>
      <c r="O179" s="250">
        <v>4</v>
      </c>
      <c r="P179" s="250">
        <v>80000</v>
      </c>
      <c r="Q179" s="250">
        <f>P179*J179</f>
        <v>87464000</v>
      </c>
      <c r="R179" s="250">
        <f>Q179*3</f>
        <v>262392000</v>
      </c>
      <c r="S179" s="250">
        <f>N179*O179*17000*30</f>
        <v>12240000</v>
      </c>
      <c r="T179" s="250">
        <f>SUM(Q179:S190)</f>
        <v>362096000</v>
      </c>
      <c r="U179" s="65" t="s">
        <v>457</v>
      </c>
      <c r="V179" s="50">
        <v>25</v>
      </c>
      <c r="W179" s="50">
        <f>J179/V179</f>
        <v>43.731999999999999</v>
      </c>
      <c r="X179" s="117" t="s">
        <v>2</v>
      </c>
      <c r="Y179" s="118">
        <v>15</v>
      </c>
      <c r="Z179" s="62"/>
      <c r="AA179" s="79"/>
      <c r="AB179" s="80"/>
      <c r="AC179" s="118">
        <f t="shared" ref="AC179:AC190" si="29">Y179*Z179*AB179</f>
        <v>0</v>
      </c>
      <c r="AD179" s="250">
        <f>SUM(AC179:AC190)</f>
        <v>180100000</v>
      </c>
      <c r="AE179" s="251">
        <f>T179+AD179</f>
        <v>542196000</v>
      </c>
      <c r="AF179" s="104">
        <f>Y179*25</f>
        <v>375</v>
      </c>
      <c r="AG179" s="103" t="s">
        <v>513</v>
      </c>
      <c r="AH179" s="103"/>
      <c r="AI179" s="252" t="s">
        <v>675</v>
      </c>
      <c r="AJ179" s="253" t="s">
        <v>681</v>
      </c>
      <c r="AK179" s="103"/>
    </row>
    <row r="180" spans="1:37" s="28" customFormat="1" ht="21" customHeight="1">
      <c r="A180" s="262"/>
      <c r="B180" s="263"/>
      <c r="C180" s="258"/>
      <c r="D180" s="258"/>
      <c r="E180" s="258"/>
      <c r="F180" s="258"/>
      <c r="G180" s="258"/>
      <c r="H180" s="256"/>
      <c r="I180" s="256"/>
      <c r="J180" s="257"/>
      <c r="K180" s="251"/>
      <c r="L180" s="258"/>
      <c r="M180" s="258"/>
      <c r="N180" s="250"/>
      <c r="O180" s="250"/>
      <c r="P180" s="250"/>
      <c r="Q180" s="250"/>
      <c r="R180" s="250"/>
      <c r="S180" s="250"/>
      <c r="T180" s="250"/>
      <c r="U180" s="67" t="s">
        <v>421</v>
      </c>
      <c r="V180" s="50"/>
      <c r="W180" s="50"/>
      <c r="X180" s="117" t="s">
        <v>2</v>
      </c>
      <c r="Y180" s="118">
        <v>15</v>
      </c>
      <c r="Z180" s="62">
        <v>4500000</v>
      </c>
      <c r="AA180" s="79"/>
      <c r="AB180" s="80">
        <v>1</v>
      </c>
      <c r="AC180" s="118">
        <f t="shared" si="29"/>
        <v>67500000</v>
      </c>
      <c r="AD180" s="250"/>
      <c r="AE180" s="251"/>
      <c r="AF180" s="104"/>
      <c r="AG180" s="103"/>
      <c r="AH180" s="103"/>
      <c r="AI180" s="252"/>
      <c r="AJ180" s="254"/>
      <c r="AK180" s="103"/>
    </row>
    <row r="181" spans="1:37" s="28" customFormat="1" ht="33" customHeight="1">
      <c r="A181" s="262"/>
      <c r="B181" s="263"/>
      <c r="C181" s="258"/>
      <c r="D181" s="258"/>
      <c r="E181" s="258"/>
      <c r="F181" s="258"/>
      <c r="G181" s="258"/>
      <c r="H181" s="256"/>
      <c r="I181" s="256"/>
      <c r="J181" s="257"/>
      <c r="K181" s="251"/>
      <c r="L181" s="258"/>
      <c r="M181" s="258"/>
      <c r="N181" s="250"/>
      <c r="O181" s="250"/>
      <c r="P181" s="250"/>
      <c r="Q181" s="250"/>
      <c r="R181" s="250"/>
      <c r="S181" s="250"/>
      <c r="T181" s="250"/>
      <c r="U181" s="65" t="s">
        <v>453</v>
      </c>
      <c r="V181" s="50"/>
      <c r="W181" s="50"/>
      <c r="X181" s="117" t="s">
        <v>2</v>
      </c>
      <c r="Y181" s="118">
        <v>22</v>
      </c>
      <c r="Z181" s="62"/>
      <c r="AA181" s="79"/>
      <c r="AB181" s="80"/>
      <c r="AC181" s="118">
        <f t="shared" si="29"/>
        <v>0</v>
      </c>
      <c r="AD181" s="250"/>
      <c r="AE181" s="251"/>
      <c r="AF181" s="104">
        <f t="shared" ref="AF181:AF183" si="30">Y181*25</f>
        <v>550</v>
      </c>
      <c r="AG181" s="103"/>
      <c r="AH181" s="103"/>
      <c r="AI181" s="252"/>
      <c r="AJ181" s="254"/>
      <c r="AK181" s="103"/>
    </row>
    <row r="182" spans="1:37" s="28" customFormat="1" ht="30" customHeight="1">
      <c r="A182" s="262"/>
      <c r="B182" s="263"/>
      <c r="C182" s="258"/>
      <c r="D182" s="258"/>
      <c r="E182" s="258"/>
      <c r="F182" s="258"/>
      <c r="G182" s="258"/>
      <c r="H182" s="256"/>
      <c r="I182" s="256"/>
      <c r="J182" s="257"/>
      <c r="K182" s="251"/>
      <c r="L182" s="258"/>
      <c r="M182" s="258"/>
      <c r="N182" s="250"/>
      <c r="O182" s="250"/>
      <c r="P182" s="250"/>
      <c r="Q182" s="250"/>
      <c r="R182" s="250"/>
      <c r="S182" s="250"/>
      <c r="T182" s="250"/>
      <c r="U182" s="67" t="s">
        <v>421</v>
      </c>
      <c r="V182" s="50"/>
      <c r="W182" s="50"/>
      <c r="X182" s="117" t="s">
        <v>2</v>
      </c>
      <c r="Y182" s="118">
        <v>22</v>
      </c>
      <c r="Z182" s="62">
        <v>3850000</v>
      </c>
      <c r="AA182" s="79"/>
      <c r="AB182" s="80">
        <v>1</v>
      </c>
      <c r="AC182" s="118">
        <f t="shared" si="29"/>
        <v>84700000</v>
      </c>
      <c r="AD182" s="250"/>
      <c r="AE182" s="251"/>
      <c r="AF182" s="104"/>
      <c r="AG182" s="103"/>
      <c r="AH182" s="103"/>
      <c r="AI182" s="252"/>
      <c r="AJ182" s="254"/>
      <c r="AK182" s="103"/>
    </row>
    <row r="183" spans="1:37" s="28" customFormat="1" ht="55.5" customHeight="1">
      <c r="A183" s="262"/>
      <c r="B183" s="263"/>
      <c r="C183" s="258"/>
      <c r="D183" s="258"/>
      <c r="E183" s="258"/>
      <c r="F183" s="258"/>
      <c r="G183" s="258"/>
      <c r="H183" s="256"/>
      <c r="I183" s="256"/>
      <c r="J183" s="257"/>
      <c r="K183" s="251"/>
      <c r="L183" s="258"/>
      <c r="M183" s="258"/>
      <c r="N183" s="250"/>
      <c r="O183" s="250"/>
      <c r="P183" s="250"/>
      <c r="Q183" s="250"/>
      <c r="R183" s="250"/>
      <c r="S183" s="250"/>
      <c r="T183" s="250"/>
      <c r="U183" s="65" t="s">
        <v>676</v>
      </c>
      <c r="V183" s="50"/>
      <c r="W183" s="50"/>
      <c r="X183" s="117" t="s">
        <v>2</v>
      </c>
      <c r="Y183" s="118">
        <v>7</v>
      </c>
      <c r="Z183" s="62"/>
      <c r="AA183" s="79"/>
      <c r="AB183" s="80"/>
      <c r="AC183" s="118">
        <f t="shared" si="29"/>
        <v>0</v>
      </c>
      <c r="AD183" s="250"/>
      <c r="AE183" s="251"/>
      <c r="AF183" s="104">
        <f t="shared" si="30"/>
        <v>175</v>
      </c>
      <c r="AG183" s="103"/>
      <c r="AH183" s="103"/>
      <c r="AI183" s="252"/>
      <c r="AJ183" s="254"/>
      <c r="AK183" s="103"/>
    </row>
    <row r="184" spans="1:37" s="28" customFormat="1" ht="32.25" customHeight="1">
      <c r="A184" s="262"/>
      <c r="B184" s="263"/>
      <c r="C184" s="258"/>
      <c r="D184" s="258"/>
      <c r="E184" s="258"/>
      <c r="F184" s="258"/>
      <c r="G184" s="258"/>
      <c r="H184" s="256"/>
      <c r="I184" s="256"/>
      <c r="J184" s="257"/>
      <c r="K184" s="251"/>
      <c r="L184" s="258"/>
      <c r="M184" s="258"/>
      <c r="N184" s="250"/>
      <c r="O184" s="250"/>
      <c r="P184" s="250"/>
      <c r="Q184" s="250"/>
      <c r="R184" s="250"/>
      <c r="S184" s="250"/>
      <c r="T184" s="250"/>
      <c r="U184" s="67" t="s">
        <v>421</v>
      </c>
      <c r="V184" s="50"/>
      <c r="W184" s="50"/>
      <c r="X184" s="117" t="s">
        <v>2</v>
      </c>
      <c r="Y184" s="118">
        <v>7</v>
      </c>
      <c r="Z184" s="62">
        <v>2700000</v>
      </c>
      <c r="AA184" s="79"/>
      <c r="AB184" s="80">
        <v>1</v>
      </c>
      <c r="AC184" s="118">
        <f t="shared" si="29"/>
        <v>18900000</v>
      </c>
      <c r="AD184" s="250"/>
      <c r="AE184" s="251"/>
      <c r="AF184" s="104"/>
      <c r="AG184" s="103"/>
      <c r="AH184" s="103"/>
      <c r="AI184" s="252"/>
      <c r="AJ184" s="254"/>
      <c r="AK184" s="103"/>
    </row>
    <row r="185" spans="1:37" s="28" customFormat="1" ht="55.5" customHeight="1">
      <c r="A185" s="262"/>
      <c r="B185" s="263"/>
      <c r="C185" s="258"/>
      <c r="D185" s="258"/>
      <c r="E185" s="258"/>
      <c r="F185" s="258"/>
      <c r="G185" s="258"/>
      <c r="H185" s="256"/>
      <c r="I185" s="256"/>
      <c r="J185" s="257"/>
      <c r="K185" s="251"/>
      <c r="L185" s="258"/>
      <c r="M185" s="258"/>
      <c r="N185" s="250"/>
      <c r="O185" s="250"/>
      <c r="P185" s="250"/>
      <c r="Q185" s="250"/>
      <c r="R185" s="250"/>
      <c r="S185" s="250"/>
      <c r="T185" s="250"/>
      <c r="U185" s="65" t="s">
        <v>459</v>
      </c>
      <c r="V185" s="50">
        <v>20</v>
      </c>
      <c r="W185" s="50">
        <f>J179/V185</f>
        <v>54.664999999999999</v>
      </c>
      <c r="X185" s="117" t="s">
        <v>2</v>
      </c>
      <c r="Y185" s="118">
        <v>12</v>
      </c>
      <c r="Z185" s="62"/>
      <c r="AA185" s="79"/>
      <c r="AB185" s="80"/>
      <c r="AC185" s="118">
        <f t="shared" si="29"/>
        <v>0</v>
      </c>
      <c r="AD185" s="250"/>
      <c r="AE185" s="251"/>
      <c r="AF185" s="104"/>
      <c r="AG185" s="103"/>
      <c r="AH185" s="103"/>
      <c r="AI185" s="252"/>
      <c r="AJ185" s="254"/>
      <c r="AK185" s="103"/>
    </row>
    <row r="186" spans="1:37" s="28" customFormat="1" ht="31.5" customHeight="1">
      <c r="A186" s="262"/>
      <c r="B186" s="263"/>
      <c r="C186" s="258"/>
      <c r="D186" s="258"/>
      <c r="E186" s="258"/>
      <c r="F186" s="258"/>
      <c r="G186" s="258"/>
      <c r="H186" s="256"/>
      <c r="I186" s="256"/>
      <c r="J186" s="257"/>
      <c r="K186" s="251"/>
      <c r="L186" s="258"/>
      <c r="M186" s="258"/>
      <c r="N186" s="250"/>
      <c r="O186" s="250"/>
      <c r="P186" s="250"/>
      <c r="Q186" s="250"/>
      <c r="R186" s="250"/>
      <c r="S186" s="250"/>
      <c r="T186" s="250"/>
      <c r="U186" s="67" t="s">
        <v>421</v>
      </c>
      <c r="V186" s="50"/>
      <c r="W186" s="50"/>
      <c r="X186" s="117" t="s">
        <v>2</v>
      </c>
      <c r="Y186" s="118">
        <v>12</v>
      </c>
      <c r="Z186" s="62">
        <v>2500000</v>
      </c>
      <c r="AA186" s="79"/>
      <c r="AB186" s="80">
        <v>0.3</v>
      </c>
      <c r="AC186" s="118">
        <f t="shared" si="29"/>
        <v>9000000</v>
      </c>
      <c r="AD186" s="250"/>
      <c r="AE186" s="251"/>
      <c r="AF186" s="104"/>
      <c r="AG186" s="103"/>
      <c r="AH186" s="103"/>
      <c r="AI186" s="252"/>
      <c r="AJ186" s="254"/>
      <c r="AK186" s="103"/>
    </row>
    <row r="187" spans="1:37" s="28" customFormat="1" ht="55.5" customHeight="1">
      <c r="A187" s="262"/>
      <c r="B187" s="263"/>
      <c r="C187" s="258"/>
      <c r="D187" s="258"/>
      <c r="E187" s="258"/>
      <c r="F187" s="258"/>
      <c r="G187" s="258"/>
      <c r="H187" s="256"/>
      <c r="I187" s="256"/>
      <c r="J187" s="257"/>
      <c r="K187" s="251"/>
      <c r="L187" s="258"/>
      <c r="M187" s="258"/>
      <c r="N187" s="250"/>
      <c r="O187" s="250"/>
      <c r="P187" s="250"/>
      <c r="Q187" s="250"/>
      <c r="R187" s="250"/>
      <c r="S187" s="250"/>
      <c r="T187" s="250"/>
      <c r="U187" s="65" t="s">
        <v>677</v>
      </c>
      <c r="V187" s="50">
        <v>10</v>
      </c>
      <c r="W187" s="50">
        <f>J179/V187</f>
        <v>109.33</v>
      </c>
      <c r="X187" s="117" t="s">
        <v>2</v>
      </c>
      <c r="Y187" s="118">
        <v>20</v>
      </c>
      <c r="Z187" s="123">
        <v>95000</v>
      </c>
      <c r="AA187" s="79"/>
      <c r="AB187" s="80">
        <v>0</v>
      </c>
      <c r="AC187" s="118">
        <f t="shared" si="29"/>
        <v>0</v>
      </c>
      <c r="AD187" s="250"/>
      <c r="AE187" s="251"/>
      <c r="AF187" s="104"/>
      <c r="AG187" s="103" t="s">
        <v>678</v>
      </c>
      <c r="AH187" s="103"/>
      <c r="AI187" s="252"/>
      <c r="AJ187" s="254"/>
      <c r="AK187" s="103"/>
    </row>
    <row r="188" spans="1:37" s="28" customFormat="1" ht="23.25" customHeight="1">
      <c r="A188" s="262"/>
      <c r="B188" s="263"/>
      <c r="C188" s="258"/>
      <c r="D188" s="258"/>
      <c r="E188" s="258"/>
      <c r="F188" s="258"/>
      <c r="G188" s="258"/>
      <c r="H188" s="256"/>
      <c r="I188" s="256"/>
      <c r="J188" s="257"/>
      <c r="K188" s="251"/>
      <c r="L188" s="258"/>
      <c r="M188" s="258"/>
      <c r="N188" s="250"/>
      <c r="O188" s="250"/>
      <c r="P188" s="250"/>
      <c r="Q188" s="250"/>
      <c r="R188" s="250"/>
      <c r="S188" s="250"/>
      <c r="T188" s="250"/>
      <c r="U188" s="124" t="s">
        <v>525</v>
      </c>
      <c r="V188" s="117"/>
      <c r="W188" s="117"/>
      <c r="X188" s="117" t="s">
        <v>399</v>
      </c>
      <c r="Y188" s="118">
        <v>1</v>
      </c>
      <c r="Z188" s="62"/>
      <c r="AA188" s="79"/>
      <c r="AB188" s="80">
        <v>0</v>
      </c>
      <c r="AC188" s="118">
        <f t="shared" si="29"/>
        <v>0</v>
      </c>
      <c r="AD188" s="250"/>
      <c r="AE188" s="251"/>
      <c r="AF188" s="104"/>
      <c r="AG188" s="103"/>
      <c r="AH188" s="103"/>
      <c r="AI188" s="252"/>
      <c r="AJ188" s="254"/>
      <c r="AK188" s="103"/>
    </row>
    <row r="189" spans="1:37" s="28" customFormat="1" ht="39.75" customHeight="1">
      <c r="A189" s="262"/>
      <c r="B189" s="263"/>
      <c r="C189" s="258"/>
      <c r="D189" s="258"/>
      <c r="E189" s="258"/>
      <c r="F189" s="258"/>
      <c r="G189" s="258"/>
      <c r="H189" s="256"/>
      <c r="I189" s="256"/>
      <c r="J189" s="257"/>
      <c r="K189" s="251"/>
      <c r="L189" s="258"/>
      <c r="M189" s="258"/>
      <c r="N189" s="250"/>
      <c r="O189" s="250"/>
      <c r="P189" s="250"/>
      <c r="Q189" s="250"/>
      <c r="R189" s="250"/>
      <c r="S189" s="250"/>
      <c r="T189" s="250"/>
      <c r="U189" s="124" t="s">
        <v>679</v>
      </c>
      <c r="V189" s="117"/>
      <c r="W189" s="117"/>
      <c r="X189" s="41" t="s">
        <v>8</v>
      </c>
      <c r="Y189" s="114">
        <v>1.2</v>
      </c>
      <c r="Z189" s="123"/>
      <c r="AA189" s="79"/>
      <c r="AB189" s="80">
        <v>0</v>
      </c>
      <c r="AC189" s="118">
        <f t="shared" si="29"/>
        <v>0</v>
      </c>
      <c r="AD189" s="250"/>
      <c r="AE189" s="251"/>
      <c r="AF189" s="104"/>
      <c r="AG189" s="103"/>
      <c r="AH189" s="103"/>
      <c r="AI189" s="252"/>
      <c r="AJ189" s="254"/>
      <c r="AK189" s="103"/>
    </row>
    <row r="190" spans="1:37" s="28" customFormat="1" ht="23.25" customHeight="1">
      <c r="A190" s="262"/>
      <c r="B190" s="263"/>
      <c r="C190" s="258"/>
      <c r="D190" s="258"/>
      <c r="E190" s="258"/>
      <c r="F190" s="258"/>
      <c r="G190" s="258"/>
      <c r="H190" s="256"/>
      <c r="I190" s="256"/>
      <c r="J190" s="257"/>
      <c r="K190" s="251"/>
      <c r="L190" s="258"/>
      <c r="M190" s="258"/>
      <c r="N190" s="250"/>
      <c r="O190" s="250"/>
      <c r="P190" s="250"/>
      <c r="Q190" s="250"/>
      <c r="R190" s="250"/>
      <c r="S190" s="250"/>
      <c r="T190" s="250"/>
      <c r="U190" s="120" t="s">
        <v>680</v>
      </c>
      <c r="V190" s="119"/>
      <c r="W190" s="119"/>
      <c r="X190" s="117" t="s">
        <v>6</v>
      </c>
      <c r="Y190" s="114">
        <v>4</v>
      </c>
      <c r="Z190" s="123"/>
      <c r="AA190" s="79"/>
      <c r="AB190" s="80">
        <v>0</v>
      </c>
      <c r="AC190" s="118">
        <f t="shared" si="29"/>
        <v>0</v>
      </c>
      <c r="AD190" s="250"/>
      <c r="AE190" s="251"/>
      <c r="AF190" s="105"/>
      <c r="AG190" s="103"/>
      <c r="AH190" s="103"/>
      <c r="AI190" s="252"/>
      <c r="AJ190" s="255"/>
      <c r="AK190" s="103"/>
    </row>
    <row r="191" spans="1:37" ht="38.25" customHeight="1">
      <c r="A191" s="125"/>
      <c r="B191" s="125" t="s">
        <v>617</v>
      </c>
      <c r="C191" s="34"/>
      <c r="D191" s="34"/>
      <c r="E191" s="34"/>
      <c r="F191" s="93">
        <f>SUM(F9:F190)</f>
        <v>16503.8</v>
      </c>
      <c r="G191" s="93"/>
      <c r="H191" s="93">
        <f>SUM(H9:H190)</f>
        <v>16599.400000000001</v>
      </c>
      <c r="I191" s="93">
        <f>SUM(I9:I190)</f>
        <v>-95.600000000000421</v>
      </c>
      <c r="J191" s="115">
        <f>SUM(J9:J190)</f>
        <v>16599.2</v>
      </c>
      <c r="K191" s="93"/>
      <c r="L191" s="93">
        <f>SUM(L9:L190)</f>
        <v>2736</v>
      </c>
      <c r="M191" s="93"/>
      <c r="N191" s="93"/>
      <c r="O191" s="106">
        <f>SUM(O9:O190)</f>
        <v>117</v>
      </c>
      <c r="P191" s="93"/>
      <c r="Q191" s="116">
        <f>SUM(Q9:Q190)</f>
        <v>1327936000</v>
      </c>
      <c r="R191" s="116">
        <f>SUM(R9:R190)</f>
        <v>3983808000</v>
      </c>
      <c r="S191" s="116">
        <f>SUM(S9:S190)</f>
        <v>544170000</v>
      </c>
      <c r="T191" s="116">
        <f>SUM(T9:T190)</f>
        <v>5855914000</v>
      </c>
      <c r="U191" s="93"/>
      <c r="V191" s="93"/>
      <c r="W191" s="93"/>
      <c r="X191" s="93"/>
      <c r="Y191" s="93"/>
      <c r="Z191" s="93"/>
      <c r="AA191" s="93"/>
      <c r="AB191" s="93"/>
      <c r="AC191" s="93"/>
      <c r="AD191" s="116">
        <f t="shared" ref="AD191:AI191" si="31">SUM(AD9:AD190)</f>
        <v>2412450000</v>
      </c>
      <c r="AE191" s="116">
        <f t="shared" si="31"/>
        <v>8268364000</v>
      </c>
      <c r="AF191" s="93">
        <f t="shared" si="31"/>
        <v>2800</v>
      </c>
      <c r="AG191" s="93">
        <f t="shared" si="31"/>
        <v>0</v>
      </c>
      <c r="AH191" s="93">
        <f t="shared" si="31"/>
        <v>0</v>
      </c>
      <c r="AI191" s="93">
        <f t="shared" si="31"/>
        <v>0</v>
      </c>
    </row>
    <row r="193" spans="10:3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row>
    <row r="194" spans="10:31" hidden="1">
      <c r="Q194" s="107"/>
      <c r="R194" s="107"/>
    </row>
    <row r="195" spans="10:31" hidden="1"/>
    <row r="196" spans="10:31" hidden="1">
      <c r="Q196" s="107"/>
    </row>
    <row r="197" spans="10:31" hidden="1"/>
    <row r="198" spans="10:31">
      <c r="J198" s="112"/>
      <c r="AE198" s="132"/>
    </row>
    <row r="199" spans="10:31">
      <c r="AE199" s="132"/>
    </row>
    <row r="201" spans="10:31">
      <c r="Q201" s="107"/>
      <c r="R201" s="107"/>
    </row>
  </sheetData>
  <autoFilter ref="A7:AE191"/>
  <mergeCells count="449">
    <mergeCell ref="AD179:AD190"/>
    <mergeCell ref="AE179:AE190"/>
    <mergeCell ref="AI179:AI190"/>
    <mergeCell ref="AJ179:AJ190"/>
    <mergeCell ref="O179:O190"/>
    <mergeCell ref="P179:P190"/>
    <mergeCell ref="Q179:Q190"/>
    <mergeCell ref="R179:R190"/>
    <mergeCell ref="S179:S190"/>
    <mergeCell ref="T179:T190"/>
    <mergeCell ref="I179:I190"/>
    <mergeCell ref="J179:J190"/>
    <mergeCell ref="K179:K190"/>
    <mergeCell ref="L179:L190"/>
    <mergeCell ref="M179:M190"/>
    <mergeCell ref="N179:N190"/>
    <mergeCell ref="AI167:AI178"/>
    <mergeCell ref="AJ167:AJ178"/>
    <mergeCell ref="A179:A190"/>
    <mergeCell ref="B179:B190"/>
    <mergeCell ref="C179:C190"/>
    <mergeCell ref="D179:D190"/>
    <mergeCell ref="E179:E190"/>
    <mergeCell ref="F179:F190"/>
    <mergeCell ref="G179:G190"/>
    <mergeCell ref="H179:H190"/>
    <mergeCell ref="R167:R178"/>
    <mergeCell ref="S167:S178"/>
    <mergeCell ref="T167:T178"/>
    <mergeCell ref="AD167:AD178"/>
    <mergeCell ref="AE167:AE178"/>
    <mergeCell ref="AG167:AG178"/>
    <mergeCell ref="K167:K178"/>
    <mergeCell ref="M167:M178"/>
    <mergeCell ref="N167:N178"/>
    <mergeCell ref="O167:O178"/>
    <mergeCell ref="P167:P178"/>
    <mergeCell ref="Q167:Q178"/>
    <mergeCell ref="AE163:AE166"/>
    <mergeCell ref="A167:A178"/>
    <mergeCell ref="B167:B178"/>
    <mergeCell ref="D167:D178"/>
    <mergeCell ref="E167:E178"/>
    <mergeCell ref="F167:F178"/>
    <mergeCell ref="G167:G178"/>
    <mergeCell ref="H167:H178"/>
    <mergeCell ref="I167:I178"/>
    <mergeCell ref="J167:J178"/>
    <mergeCell ref="P163:P166"/>
    <mergeCell ref="Q163:Q166"/>
    <mergeCell ref="R163:R166"/>
    <mergeCell ref="S163:S166"/>
    <mergeCell ref="T163:T166"/>
    <mergeCell ref="AD163:AD165"/>
    <mergeCell ref="J163:J166"/>
    <mergeCell ref="K163:K166"/>
    <mergeCell ref="L163:L166"/>
    <mergeCell ref="M163:M166"/>
    <mergeCell ref="N163:N166"/>
    <mergeCell ref="O163:O166"/>
    <mergeCell ref="AE161:AE162"/>
    <mergeCell ref="A163:A166"/>
    <mergeCell ref="B163:B166"/>
    <mergeCell ref="C163:C165"/>
    <mergeCell ref="D163:D165"/>
    <mergeCell ref="E163:E165"/>
    <mergeCell ref="F163:F165"/>
    <mergeCell ref="G163:G165"/>
    <mergeCell ref="H163:H165"/>
    <mergeCell ref="I163:I165"/>
    <mergeCell ref="P161:P162"/>
    <mergeCell ref="Q161:Q162"/>
    <mergeCell ref="R161:R162"/>
    <mergeCell ref="S161:S162"/>
    <mergeCell ref="T161:T162"/>
    <mergeCell ref="AD161:AD162"/>
    <mergeCell ref="J161:J162"/>
    <mergeCell ref="K161:K162"/>
    <mergeCell ref="L161:L162"/>
    <mergeCell ref="M161:M162"/>
    <mergeCell ref="N161:N162"/>
    <mergeCell ref="O161:O162"/>
    <mergeCell ref="Q154:Q160"/>
    <mergeCell ref="R154:R160"/>
    <mergeCell ref="S154:S160"/>
    <mergeCell ref="T154:T160"/>
    <mergeCell ref="AD154:AD160"/>
    <mergeCell ref="J154:J160"/>
    <mergeCell ref="K154:K160"/>
    <mergeCell ref="L154:L160"/>
    <mergeCell ref="M154:M160"/>
    <mergeCell ref="N154:N160"/>
    <mergeCell ref="O154:O160"/>
    <mergeCell ref="A161:A162"/>
    <mergeCell ref="B161:B162"/>
    <mergeCell ref="C161:C162"/>
    <mergeCell ref="D161:D162"/>
    <mergeCell ref="E161:E162"/>
    <mergeCell ref="F161:F162"/>
    <mergeCell ref="G161:G162"/>
    <mergeCell ref="H161:H162"/>
    <mergeCell ref="I161:I162"/>
    <mergeCell ref="AE147:AE153"/>
    <mergeCell ref="A154:A160"/>
    <mergeCell ref="B154:B160"/>
    <mergeCell ref="C154:C160"/>
    <mergeCell ref="D154:D160"/>
    <mergeCell ref="E154:E160"/>
    <mergeCell ref="F154:F160"/>
    <mergeCell ref="G154:G160"/>
    <mergeCell ref="H154:H160"/>
    <mergeCell ref="I154:I160"/>
    <mergeCell ref="P147:P153"/>
    <mergeCell ref="Q147:Q153"/>
    <mergeCell ref="R147:R153"/>
    <mergeCell ref="S147:S153"/>
    <mergeCell ref="T147:T153"/>
    <mergeCell ref="AD147:AD153"/>
    <mergeCell ref="J147:J153"/>
    <mergeCell ref="K147:K153"/>
    <mergeCell ref="L147:L153"/>
    <mergeCell ref="M147:M153"/>
    <mergeCell ref="N147:N153"/>
    <mergeCell ref="O147:O153"/>
    <mergeCell ref="AE154:AE160"/>
    <mergeCell ref="P154:P160"/>
    <mergeCell ref="Q140:Q146"/>
    <mergeCell ref="R140:R146"/>
    <mergeCell ref="S140:S146"/>
    <mergeCell ref="T140:T146"/>
    <mergeCell ref="AD140:AD146"/>
    <mergeCell ref="J140:J146"/>
    <mergeCell ref="K140:K146"/>
    <mergeCell ref="L140:L146"/>
    <mergeCell ref="M140:M146"/>
    <mergeCell ref="N140:N146"/>
    <mergeCell ref="O140:O146"/>
    <mergeCell ref="A147:A153"/>
    <mergeCell ref="B147:B153"/>
    <mergeCell ref="C147:C153"/>
    <mergeCell ref="D147:D153"/>
    <mergeCell ref="E147:E153"/>
    <mergeCell ref="F147:F153"/>
    <mergeCell ref="G147:G153"/>
    <mergeCell ref="H147:H153"/>
    <mergeCell ref="I147:I153"/>
    <mergeCell ref="AE123:AE139"/>
    <mergeCell ref="A140:A146"/>
    <mergeCell ref="B140:B146"/>
    <mergeCell ref="C140:C146"/>
    <mergeCell ref="D140:D146"/>
    <mergeCell ref="E140:E146"/>
    <mergeCell ref="F140:F146"/>
    <mergeCell ref="G140:G146"/>
    <mergeCell ref="H140:H146"/>
    <mergeCell ref="I140:I146"/>
    <mergeCell ref="P123:P139"/>
    <mergeCell ref="Q123:Q139"/>
    <mergeCell ref="R123:R139"/>
    <mergeCell ref="S123:S139"/>
    <mergeCell ref="T123:T139"/>
    <mergeCell ref="AD123:AD139"/>
    <mergeCell ref="J123:J139"/>
    <mergeCell ref="K123:K139"/>
    <mergeCell ref="L123:L139"/>
    <mergeCell ref="M123:M139"/>
    <mergeCell ref="N123:N139"/>
    <mergeCell ref="O123:O139"/>
    <mergeCell ref="AE140:AE146"/>
    <mergeCell ref="P140:P146"/>
    <mergeCell ref="Q119:Q122"/>
    <mergeCell ref="R119:R122"/>
    <mergeCell ref="S119:S122"/>
    <mergeCell ref="T119:T122"/>
    <mergeCell ref="AD119:AD122"/>
    <mergeCell ref="J119:J122"/>
    <mergeCell ref="K119:K122"/>
    <mergeCell ref="L119:L122"/>
    <mergeCell ref="M119:M122"/>
    <mergeCell ref="N119:N122"/>
    <mergeCell ref="O119:O122"/>
    <mergeCell ref="A123:A139"/>
    <mergeCell ref="B123:B139"/>
    <mergeCell ref="C123:C139"/>
    <mergeCell ref="D123:D139"/>
    <mergeCell ref="E123:E139"/>
    <mergeCell ref="F123:F139"/>
    <mergeCell ref="G123:G139"/>
    <mergeCell ref="H123:H139"/>
    <mergeCell ref="I123:I139"/>
    <mergeCell ref="AE108:AE118"/>
    <mergeCell ref="A119:A122"/>
    <mergeCell ref="B119:B122"/>
    <mergeCell ref="C119:C122"/>
    <mergeCell ref="D119:D122"/>
    <mergeCell ref="E119:E122"/>
    <mergeCell ref="F119:F122"/>
    <mergeCell ref="G119:G122"/>
    <mergeCell ref="H119:H122"/>
    <mergeCell ref="I119:I122"/>
    <mergeCell ref="P108:P118"/>
    <mergeCell ref="Q108:Q118"/>
    <mergeCell ref="R108:R118"/>
    <mergeCell ref="S108:S118"/>
    <mergeCell ref="T108:T118"/>
    <mergeCell ref="AD108:AD118"/>
    <mergeCell ref="J108:J118"/>
    <mergeCell ref="K108:K118"/>
    <mergeCell ref="L108:L118"/>
    <mergeCell ref="M108:M118"/>
    <mergeCell ref="N108:N118"/>
    <mergeCell ref="O108:O118"/>
    <mergeCell ref="AE119:AE122"/>
    <mergeCell ref="P119:P122"/>
    <mergeCell ref="A108:A118"/>
    <mergeCell ref="B108:B118"/>
    <mergeCell ref="C108:C118"/>
    <mergeCell ref="D108:D118"/>
    <mergeCell ref="E108:E118"/>
    <mergeCell ref="F108:F118"/>
    <mergeCell ref="G108:G118"/>
    <mergeCell ref="H108:H118"/>
    <mergeCell ref="I108:I118"/>
    <mergeCell ref="AE86:AE107"/>
    <mergeCell ref="C97:C107"/>
    <mergeCell ref="D97:D107"/>
    <mergeCell ref="E97:E107"/>
    <mergeCell ref="F97:F107"/>
    <mergeCell ref="G97:G107"/>
    <mergeCell ref="H97:H107"/>
    <mergeCell ref="M86:M107"/>
    <mergeCell ref="N86:N107"/>
    <mergeCell ref="O86:O107"/>
    <mergeCell ref="P86:P107"/>
    <mergeCell ref="Q86:Q107"/>
    <mergeCell ref="R86:R107"/>
    <mergeCell ref="G86:G96"/>
    <mergeCell ref="H86:H96"/>
    <mergeCell ref="I86:I96"/>
    <mergeCell ref="J86:J107"/>
    <mergeCell ref="K86:K107"/>
    <mergeCell ref="L86:L107"/>
    <mergeCell ref="I97:I107"/>
    <mergeCell ref="AD97:AD107"/>
    <mergeCell ref="S86:S107"/>
    <mergeCell ref="T86:T107"/>
    <mergeCell ref="AD86:AD96"/>
    <mergeCell ref="A86:A107"/>
    <mergeCell ref="B86:B107"/>
    <mergeCell ref="C86:C96"/>
    <mergeCell ref="D86:D96"/>
    <mergeCell ref="E86:E96"/>
    <mergeCell ref="F86:F96"/>
    <mergeCell ref="M77:M85"/>
    <mergeCell ref="N77:N85"/>
    <mergeCell ref="O77:O85"/>
    <mergeCell ref="G77:G85"/>
    <mergeCell ref="H77:H85"/>
    <mergeCell ref="I77:I85"/>
    <mergeCell ref="J77:J85"/>
    <mergeCell ref="K77:K85"/>
    <mergeCell ref="L77:L85"/>
    <mergeCell ref="A77:A85"/>
    <mergeCell ref="B77:B85"/>
    <mergeCell ref="C77:C85"/>
    <mergeCell ref="D77:D85"/>
    <mergeCell ref="E77:E85"/>
    <mergeCell ref="F77:F85"/>
    <mergeCell ref="P77:P85"/>
    <mergeCell ref="Q77:Q85"/>
    <mergeCell ref="R77:R85"/>
    <mergeCell ref="AJ69:AJ75"/>
    <mergeCell ref="M69:M75"/>
    <mergeCell ref="N69:N75"/>
    <mergeCell ref="O69:O75"/>
    <mergeCell ref="P69:P75"/>
    <mergeCell ref="Q69:Q75"/>
    <mergeCell ref="R69:R75"/>
    <mergeCell ref="S69:S75"/>
    <mergeCell ref="T69:T75"/>
    <mergeCell ref="AD69:AD75"/>
    <mergeCell ref="AE69:AE75"/>
    <mergeCell ref="AI69:AI75"/>
    <mergeCell ref="S77:S85"/>
    <mergeCell ref="T77:T85"/>
    <mergeCell ref="AD77:AD85"/>
    <mergeCell ref="AE77:AE85"/>
    <mergeCell ref="G69:G75"/>
    <mergeCell ref="H69:H75"/>
    <mergeCell ref="I69:I75"/>
    <mergeCell ref="J69:J75"/>
    <mergeCell ref="K69:K75"/>
    <mergeCell ref="L69:L75"/>
    <mergeCell ref="A69:A75"/>
    <mergeCell ref="B69:B75"/>
    <mergeCell ref="C69:C75"/>
    <mergeCell ref="D69:D75"/>
    <mergeCell ref="E69:E75"/>
    <mergeCell ref="F69:F75"/>
    <mergeCell ref="A64:A68"/>
    <mergeCell ref="B64:B68"/>
    <mergeCell ref="C64:C68"/>
    <mergeCell ref="D64:D68"/>
    <mergeCell ref="E64:E68"/>
    <mergeCell ref="F64:F68"/>
    <mergeCell ref="AE64:AE68"/>
    <mergeCell ref="AI64:AI68"/>
    <mergeCell ref="AJ64:AJ68"/>
    <mergeCell ref="M64:M68"/>
    <mergeCell ref="N64:N68"/>
    <mergeCell ref="O64:O68"/>
    <mergeCell ref="P64:P68"/>
    <mergeCell ref="Q64:Q68"/>
    <mergeCell ref="R64:R68"/>
    <mergeCell ref="S64:S68"/>
    <mergeCell ref="T64:T68"/>
    <mergeCell ref="AD64:AD68"/>
    <mergeCell ref="G64:G68"/>
    <mergeCell ref="H64:H68"/>
    <mergeCell ref="I64:I68"/>
    <mergeCell ref="J64:J68"/>
    <mergeCell ref="K64:K68"/>
    <mergeCell ref="L64:L68"/>
    <mergeCell ref="S59:S63"/>
    <mergeCell ref="T59:T63"/>
    <mergeCell ref="AD59:AD63"/>
    <mergeCell ref="AE59:AE63"/>
    <mergeCell ref="J59:J63"/>
    <mergeCell ref="K59:K63"/>
    <mergeCell ref="M59:M63"/>
    <mergeCell ref="N59:N63"/>
    <mergeCell ref="O59:O63"/>
    <mergeCell ref="P59:P63"/>
    <mergeCell ref="AD41:AD57"/>
    <mergeCell ref="AE41:AE58"/>
    <mergeCell ref="A59:A63"/>
    <mergeCell ref="B59:B63"/>
    <mergeCell ref="D59:D63"/>
    <mergeCell ref="E59:E63"/>
    <mergeCell ref="F59:F63"/>
    <mergeCell ref="G59:G63"/>
    <mergeCell ref="H59:H63"/>
    <mergeCell ref="I59:I63"/>
    <mergeCell ref="O41:O58"/>
    <mergeCell ref="P41:P58"/>
    <mergeCell ref="Q41:Q58"/>
    <mergeCell ref="R41:R58"/>
    <mergeCell ref="S41:S58"/>
    <mergeCell ref="T41:T58"/>
    <mergeCell ref="I41:I57"/>
    <mergeCell ref="J41:J58"/>
    <mergeCell ref="K41:K58"/>
    <mergeCell ref="L41:L58"/>
    <mergeCell ref="M41:M58"/>
    <mergeCell ref="N41:N58"/>
    <mergeCell ref="Q59:Q63"/>
    <mergeCell ref="R59:R63"/>
    <mergeCell ref="AD27:AD40"/>
    <mergeCell ref="AE27:AE40"/>
    <mergeCell ref="A41:A58"/>
    <mergeCell ref="B41:B58"/>
    <mergeCell ref="C41:C57"/>
    <mergeCell ref="D41:D57"/>
    <mergeCell ref="E41:E57"/>
    <mergeCell ref="F41:F57"/>
    <mergeCell ref="G41:G57"/>
    <mergeCell ref="H41:H57"/>
    <mergeCell ref="O27:O40"/>
    <mergeCell ref="P27:P40"/>
    <mergeCell ref="Q27:Q40"/>
    <mergeCell ref="R27:R40"/>
    <mergeCell ref="S27:S40"/>
    <mergeCell ref="T27:T40"/>
    <mergeCell ref="H27:H40"/>
    <mergeCell ref="I27:I40"/>
    <mergeCell ref="J27:J40"/>
    <mergeCell ref="K27:K40"/>
    <mergeCell ref="M27:M40"/>
    <mergeCell ref="N27:N40"/>
    <mergeCell ref="A27:A40"/>
    <mergeCell ref="B27:B40"/>
    <mergeCell ref="D27:D40"/>
    <mergeCell ref="E27:E40"/>
    <mergeCell ref="F27:F40"/>
    <mergeCell ref="G27:G40"/>
    <mergeCell ref="AE14:AE24"/>
    <mergeCell ref="AF14:AF15"/>
    <mergeCell ref="D18:D24"/>
    <mergeCell ref="E18:E24"/>
    <mergeCell ref="F18:F24"/>
    <mergeCell ref="G18:G24"/>
    <mergeCell ref="H18:H24"/>
    <mergeCell ref="I18:I24"/>
    <mergeCell ref="AD18:AD24"/>
    <mergeCell ref="AF18:AF19"/>
    <mergeCell ref="P14:P24"/>
    <mergeCell ref="Q14:Q24"/>
    <mergeCell ref="R14:R24"/>
    <mergeCell ref="S14:S24"/>
    <mergeCell ref="T14:T24"/>
    <mergeCell ref="AD14:AD17"/>
    <mergeCell ref="J14:J24"/>
    <mergeCell ref="K14:K24"/>
    <mergeCell ref="L14:L24"/>
    <mergeCell ref="M14:M24"/>
    <mergeCell ref="N14:N24"/>
    <mergeCell ref="O14:O24"/>
    <mergeCell ref="AD11:AD12"/>
    <mergeCell ref="AE11:AE12"/>
    <mergeCell ref="A14:A24"/>
    <mergeCell ref="B14:B24"/>
    <mergeCell ref="D14:D17"/>
    <mergeCell ref="E14:E17"/>
    <mergeCell ref="F14:F17"/>
    <mergeCell ref="G14:G17"/>
    <mergeCell ref="H14:H17"/>
    <mergeCell ref="I14:I17"/>
    <mergeCell ref="O11:O12"/>
    <mergeCell ref="P11:P12"/>
    <mergeCell ref="Q11:Q12"/>
    <mergeCell ref="R11:R12"/>
    <mergeCell ref="S11:S12"/>
    <mergeCell ref="T11:T12"/>
    <mergeCell ref="I11:I12"/>
    <mergeCell ref="J11:J12"/>
    <mergeCell ref="K11:K12"/>
    <mergeCell ref="L11:L12"/>
    <mergeCell ref="M11:M12"/>
    <mergeCell ref="N11:N12"/>
    <mergeCell ref="AK3:AK4"/>
    <mergeCell ref="C4:F4"/>
    <mergeCell ref="G4:K4"/>
    <mergeCell ref="A11:A12"/>
    <mergeCell ref="B11:B12"/>
    <mergeCell ref="D11:D12"/>
    <mergeCell ref="E11:E12"/>
    <mergeCell ref="F11:F12"/>
    <mergeCell ref="G11:G12"/>
    <mergeCell ref="H11:H12"/>
    <mergeCell ref="A1:AE2"/>
    <mergeCell ref="A3:A5"/>
    <mergeCell ref="B3:B5"/>
    <mergeCell ref="C3:K3"/>
    <mergeCell ref="M3:M5"/>
    <mergeCell ref="N3:N5"/>
    <mergeCell ref="O3:O5"/>
    <mergeCell ref="P3:T4"/>
    <mergeCell ref="U3:AD4"/>
    <mergeCell ref="AE3:AE5"/>
  </mergeCells>
  <pageMargins left="0.2" right="0.1" top="0.2" bottom="0.2" header="0.2" footer="0.2"/>
  <pageSetup paperSize="9" scale="45"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201"/>
  <sheetViews>
    <sheetView zoomScale="85" zoomScaleNormal="85" workbookViewId="0">
      <pane xSplit="4" ySplit="7" topLeftCell="M190" activePane="bottomRight" state="frozen"/>
      <selection pane="topRight"/>
      <selection pane="bottomLeft"/>
      <selection pane="bottomRight" activeCell="T198" sqref="T198"/>
    </sheetView>
  </sheetViews>
  <sheetFormatPr defaultColWidth="9" defaultRowHeight="15"/>
  <cols>
    <col min="1" max="1" width="5.42578125" style="129" customWidth="1"/>
    <col min="2" max="2" width="27" style="29" customWidth="1"/>
    <col min="3" max="3" width="6" style="29" hidden="1" customWidth="1"/>
    <col min="4" max="4" width="5.42578125" style="29" customWidth="1"/>
    <col min="5" max="5" width="6.42578125" style="29" customWidth="1"/>
    <col min="6" max="6" width="9.5703125" style="129" customWidth="1"/>
    <col min="7" max="7" width="6.42578125" style="129" customWidth="1"/>
    <col min="8" max="8" width="8.7109375" style="129" customWidth="1"/>
    <col min="9" max="9" width="8.5703125" style="129" customWidth="1"/>
    <col min="10" max="10" width="10" style="129" customWidth="1"/>
    <col min="11" max="11" width="9.140625" style="129" customWidth="1"/>
    <col min="12" max="12" width="6.5703125" style="129" hidden="1" customWidth="1"/>
    <col min="13" max="13" width="8.140625" style="129" customWidth="1"/>
    <col min="14" max="14" width="8.42578125" style="129" customWidth="1"/>
    <col min="15" max="15" width="7.5703125" style="129" customWidth="1"/>
    <col min="16" max="16" width="8.42578125" style="129" customWidth="1"/>
    <col min="17" max="18" width="15.28515625" style="129" customWidth="1"/>
    <col min="19" max="19" width="14.85546875" style="129" customWidth="1"/>
    <col min="20" max="20" width="16" style="129" customWidth="1"/>
    <col min="21" max="21" width="29.7109375" style="29" customWidth="1"/>
    <col min="22" max="22" width="7.7109375" style="129" hidden="1" customWidth="1"/>
    <col min="23" max="23" width="7.85546875" style="129" hidden="1" customWidth="1"/>
    <col min="24" max="24" width="11.85546875" style="129" customWidth="1"/>
    <col min="25" max="25" width="8.7109375" style="29" customWidth="1"/>
    <col min="26" max="26" width="11.140625" style="129" customWidth="1"/>
    <col min="27" max="27" width="0.28515625" style="29" hidden="1" customWidth="1"/>
    <col min="28" max="28" width="9.7109375" style="29" customWidth="1"/>
    <col min="29" max="29" width="14.42578125" style="29" customWidth="1"/>
    <col min="30" max="30" width="14.5703125" style="129" customWidth="1"/>
    <col min="31" max="31" width="15.28515625" style="108" customWidth="1"/>
    <col min="32" max="32" width="16.140625" style="29" hidden="1" customWidth="1"/>
    <col min="33" max="33" width="16" style="29" hidden="1" customWidth="1"/>
    <col min="34" max="34" width="14" style="29" hidden="1" customWidth="1"/>
    <col min="35" max="35" width="17.42578125" style="29" customWidth="1"/>
    <col min="36" max="36" width="17.28515625" style="29" customWidth="1"/>
    <col min="37" max="37" width="18.140625" style="29" customWidth="1"/>
    <col min="38" max="16384" width="9" style="2"/>
  </cols>
  <sheetData>
    <row r="1" spans="1:37" ht="32.25" customHeight="1">
      <c r="A1" s="290" t="s">
        <v>684</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row>
    <row r="2" spans="1:37" ht="32.2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7" ht="21.75" customHeight="1">
      <c r="A3" s="288" t="s">
        <v>4</v>
      </c>
      <c r="B3" s="288" t="s">
        <v>613</v>
      </c>
      <c r="C3" s="288" t="s">
        <v>377</v>
      </c>
      <c r="D3" s="288"/>
      <c r="E3" s="288"/>
      <c r="F3" s="288"/>
      <c r="G3" s="288"/>
      <c r="H3" s="288"/>
      <c r="I3" s="288"/>
      <c r="J3" s="288"/>
      <c r="K3" s="288"/>
      <c r="L3" s="125"/>
      <c r="M3" s="288" t="s">
        <v>378</v>
      </c>
      <c r="N3" s="251" t="s">
        <v>379</v>
      </c>
      <c r="O3" s="251" t="s">
        <v>20</v>
      </c>
      <c r="P3" s="288" t="s">
        <v>380</v>
      </c>
      <c r="Q3" s="288"/>
      <c r="R3" s="288"/>
      <c r="S3" s="288"/>
      <c r="T3" s="288"/>
      <c r="U3" s="288" t="s">
        <v>381</v>
      </c>
      <c r="V3" s="288"/>
      <c r="W3" s="288"/>
      <c r="X3" s="288"/>
      <c r="Y3" s="288"/>
      <c r="Z3" s="288"/>
      <c r="AA3" s="288"/>
      <c r="AB3" s="288"/>
      <c r="AC3" s="288"/>
      <c r="AD3" s="288"/>
      <c r="AE3" s="288" t="s">
        <v>382</v>
      </c>
      <c r="AK3" s="287" t="s">
        <v>652</v>
      </c>
    </row>
    <row r="4" spans="1:37" ht="28.5" customHeight="1">
      <c r="A4" s="288"/>
      <c r="B4" s="288"/>
      <c r="C4" s="288" t="s">
        <v>383</v>
      </c>
      <c r="D4" s="288"/>
      <c r="E4" s="288"/>
      <c r="F4" s="288"/>
      <c r="G4" s="288" t="s">
        <v>384</v>
      </c>
      <c r="H4" s="288"/>
      <c r="I4" s="288"/>
      <c r="J4" s="288"/>
      <c r="K4" s="288"/>
      <c r="L4" s="125"/>
      <c r="M4" s="288"/>
      <c r="N4" s="251"/>
      <c r="O4" s="251"/>
      <c r="P4" s="288"/>
      <c r="Q4" s="288"/>
      <c r="R4" s="288"/>
      <c r="S4" s="288"/>
      <c r="T4" s="288"/>
      <c r="U4" s="288"/>
      <c r="V4" s="288"/>
      <c r="W4" s="288"/>
      <c r="X4" s="288"/>
      <c r="Y4" s="288"/>
      <c r="Z4" s="288"/>
      <c r="AA4" s="288"/>
      <c r="AB4" s="288"/>
      <c r="AC4" s="288"/>
      <c r="AD4" s="288"/>
      <c r="AE4" s="288"/>
      <c r="AF4" s="31"/>
      <c r="AK4" s="287"/>
    </row>
    <row r="5" spans="1:37" ht="92.25" customHeight="1">
      <c r="A5" s="288"/>
      <c r="B5" s="288"/>
      <c r="C5" s="125" t="s">
        <v>385</v>
      </c>
      <c r="D5" s="125" t="s">
        <v>13</v>
      </c>
      <c r="E5" s="125" t="s">
        <v>14</v>
      </c>
      <c r="F5" s="125" t="s">
        <v>621</v>
      </c>
      <c r="G5" s="125" t="s">
        <v>16</v>
      </c>
      <c r="H5" s="116" t="s">
        <v>620</v>
      </c>
      <c r="I5" s="33" t="s">
        <v>619</v>
      </c>
      <c r="J5" s="116" t="s">
        <v>386</v>
      </c>
      <c r="K5" s="116" t="s">
        <v>618</v>
      </c>
      <c r="L5" s="125" t="s">
        <v>19</v>
      </c>
      <c r="M5" s="288"/>
      <c r="N5" s="251"/>
      <c r="O5" s="251"/>
      <c r="P5" s="116" t="s">
        <v>387</v>
      </c>
      <c r="Q5" s="116" t="s">
        <v>388</v>
      </c>
      <c r="R5" s="116" t="s">
        <v>389</v>
      </c>
      <c r="S5" s="116" t="s">
        <v>390</v>
      </c>
      <c r="T5" s="116" t="s">
        <v>391</v>
      </c>
      <c r="U5" s="125" t="s">
        <v>21</v>
      </c>
      <c r="V5" s="125" t="s">
        <v>406</v>
      </c>
      <c r="W5" s="125" t="s">
        <v>557</v>
      </c>
      <c r="X5" s="125" t="s">
        <v>22</v>
      </c>
      <c r="Y5" s="116" t="s">
        <v>23</v>
      </c>
      <c r="Z5" s="116" t="s">
        <v>5</v>
      </c>
      <c r="AA5" s="125" t="s">
        <v>24</v>
      </c>
      <c r="AB5" s="125" t="s">
        <v>25</v>
      </c>
      <c r="AC5" s="116" t="s">
        <v>392</v>
      </c>
      <c r="AD5" s="116" t="s">
        <v>393</v>
      </c>
      <c r="AE5" s="288"/>
      <c r="AF5" s="31"/>
    </row>
    <row r="6" spans="1:37" ht="15.75" customHeight="1">
      <c r="A6" s="125"/>
      <c r="B6" s="34"/>
      <c r="C6" s="125"/>
      <c r="D6" s="125"/>
      <c r="E6" s="125"/>
      <c r="F6" s="125"/>
      <c r="G6" s="125"/>
      <c r="H6" s="116"/>
      <c r="I6" s="33"/>
      <c r="J6" s="118"/>
      <c r="K6" s="118"/>
      <c r="L6" s="125"/>
      <c r="M6" s="125"/>
      <c r="N6" s="116"/>
      <c r="O6" s="116"/>
      <c r="P6" s="116">
        <v>80000</v>
      </c>
      <c r="Q6" s="116"/>
      <c r="R6" s="116">
        <f>P6*3</f>
        <v>240000</v>
      </c>
      <c r="S6" s="116">
        <f>17000*30</f>
        <v>510000</v>
      </c>
      <c r="T6" s="116"/>
      <c r="U6" s="36"/>
      <c r="V6" s="125"/>
      <c r="W6" s="125"/>
      <c r="X6" s="125"/>
      <c r="Y6" s="116"/>
      <c r="Z6" s="116"/>
      <c r="AA6" s="125"/>
      <c r="AB6" s="125"/>
      <c r="AC6" s="116"/>
      <c r="AD6" s="116"/>
      <c r="AE6" s="125"/>
      <c r="AF6" s="31"/>
    </row>
    <row r="7" spans="1:37" s="113" customFormat="1" ht="15.75">
      <c r="A7" s="125">
        <v>1</v>
      </c>
      <c r="B7" s="125">
        <v>2</v>
      </c>
      <c r="C7" s="125"/>
      <c r="D7" s="125">
        <v>3</v>
      </c>
      <c r="E7" s="125">
        <v>4</v>
      </c>
      <c r="F7" s="125">
        <v>5</v>
      </c>
      <c r="G7" s="125">
        <v>6</v>
      </c>
      <c r="H7" s="116">
        <v>7</v>
      </c>
      <c r="I7" s="116">
        <v>8</v>
      </c>
      <c r="J7" s="118">
        <v>9</v>
      </c>
      <c r="K7" s="118">
        <v>10</v>
      </c>
      <c r="L7" s="125"/>
      <c r="M7" s="125">
        <v>11</v>
      </c>
      <c r="N7" s="116">
        <v>12</v>
      </c>
      <c r="O7" s="116">
        <v>13</v>
      </c>
      <c r="P7" s="116">
        <v>14</v>
      </c>
      <c r="Q7" s="116">
        <v>15</v>
      </c>
      <c r="R7" s="116">
        <v>16</v>
      </c>
      <c r="S7" s="116">
        <v>17</v>
      </c>
      <c r="T7" s="116">
        <v>18</v>
      </c>
      <c r="U7" s="125">
        <v>19</v>
      </c>
      <c r="V7" s="125"/>
      <c r="W7" s="125"/>
      <c r="X7" s="125">
        <v>20</v>
      </c>
      <c r="Y7" s="116">
        <v>21</v>
      </c>
      <c r="Z7" s="116">
        <v>22</v>
      </c>
      <c r="AA7" s="125">
        <v>23</v>
      </c>
      <c r="AB7" s="125">
        <v>24</v>
      </c>
      <c r="AC7" s="116">
        <v>25</v>
      </c>
      <c r="AD7" s="116">
        <v>26</v>
      </c>
      <c r="AE7" s="125" t="s">
        <v>394</v>
      </c>
      <c r="AF7" s="130"/>
      <c r="AG7" s="129"/>
      <c r="AH7" s="129"/>
      <c r="AI7" s="129"/>
      <c r="AJ7" s="129"/>
      <c r="AK7" s="129"/>
    </row>
    <row r="8" spans="1:37" s="14" customFormat="1" ht="25.5" customHeight="1">
      <c r="A8" s="125"/>
      <c r="B8" s="34" t="s">
        <v>612</v>
      </c>
      <c r="C8" s="34"/>
      <c r="D8" s="34"/>
      <c r="E8" s="34"/>
      <c r="F8" s="125"/>
      <c r="G8" s="125"/>
      <c r="H8" s="125"/>
      <c r="I8" s="125"/>
      <c r="J8" s="117"/>
      <c r="K8" s="117"/>
      <c r="L8" s="125"/>
      <c r="M8" s="125"/>
      <c r="N8" s="125"/>
      <c r="O8" s="125"/>
      <c r="P8" s="125"/>
      <c r="Q8" s="125"/>
      <c r="R8" s="125"/>
      <c r="S8" s="125"/>
      <c r="T8" s="125"/>
      <c r="U8" s="34"/>
      <c r="V8" s="125"/>
      <c r="W8" s="125"/>
      <c r="X8" s="125"/>
      <c r="Y8" s="34"/>
      <c r="Z8" s="125"/>
      <c r="AA8" s="34"/>
      <c r="AB8" s="34"/>
      <c r="AC8" s="34"/>
      <c r="AD8" s="125"/>
      <c r="AE8" s="125"/>
      <c r="AF8" s="40"/>
      <c r="AG8" s="40"/>
      <c r="AH8" s="40"/>
      <c r="AI8" s="40"/>
      <c r="AJ8" s="40"/>
      <c r="AK8" s="40"/>
    </row>
    <row r="9" spans="1:37" s="24" customFormat="1" ht="43.5" customHeight="1">
      <c r="A9" s="41">
        <v>1</v>
      </c>
      <c r="B9" s="42" t="s">
        <v>581</v>
      </c>
      <c r="C9" s="43"/>
      <c r="D9" s="44">
        <v>64</v>
      </c>
      <c r="E9" s="44">
        <v>384</v>
      </c>
      <c r="F9" s="44">
        <v>217.6</v>
      </c>
      <c r="G9" s="44" t="s">
        <v>397</v>
      </c>
      <c r="H9" s="44">
        <v>216</v>
      </c>
      <c r="I9" s="44">
        <f>F9-H9</f>
        <v>1.5999999999999943</v>
      </c>
      <c r="J9" s="46">
        <v>216</v>
      </c>
      <c r="K9" s="45">
        <v>756</v>
      </c>
      <c r="L9" s="45"/>
      <c r="M9" s="46">
        <f>J9/K9*100</f>
        <v>28.571428571428569</v>
      </c>
      <c r="N9" s="47">
        <f>IF(M9&lt;10,2,IF(M9&lt;20,3,IF(M9&lt;30,5,IF(M9&gt;=70,12,IF(M9&gt;=30,6)))))</f>
        <v>5</v>
      </c>
      <c r="O9" s="47">
        <v>5</v>
      </c>
      <c r="P9" s="123">
        <f>$P$6</f>
        <v>80000</v>
      </c>
      <c r="Q9" s="123">
        <f>H9*P9</f>
        <v>17280000</v>
      </c>
      <c r="R9" s="123">
        <f>Q9*3</f>
        <v>51840000</v>
      </c>
      <c r="S9" s="123">
        <f>N9*O9*17000*30</f>
        <v>12750000</v>
      </c>
      <c r="T9" s="123">
        <f>S9+R9+Q9</f>
        <v>81870000</v>
      </c>
      <c r="U9" s="124" t="s">
        <v>591</v>
      </c>
      <c r="V9" s="41"/>
      <c r="W9" s="41"/>
      <c r="X9" s="50" t="s">
        <v>0</v>
      </c>
      <c r="Y9" s="44">
        <v>216</v>
      </c>
      <c r="Z9" s="47">
        <v>97000</v>
      </c>
      <c r="AA9" s="43"/>
      <c r="AB9" s="51">
        <v>1</v>
      </c>
      <c r="AC9" s="52">
        <f>Y9*Z9*AB9</f>
        <v>20952000</v>
      </c>
      <c r="AD9" s="47">
        <f>AC9</f>
        <v>20952000</v>
      </c>
      <c r="AE9" s="53">
        <f>AD9+T9</f>
        <v>102822000</v>
      </c>
      <c r="AF9" s="54"/>
      <c r="AG9" s="55"/>
      <c r="AH9" s="55"/>
      <c r="AI9" s="55"/>
      <c r="AJ9" s="55"/>
      <c r="AK9" s="55"/>
    </row>
    <row r="10" spans="1:37" s="24" customFormat="1" ht="43.5" customHeight="1">
      <c r="A10" s="44">
        <v>2</v>
      </c>
      <c r="B10" s="42" t="s">
        <v>582</v>
      </c>
      <c r="C10" s="43"/>
      <c r="D10" s="44">
        <v>64</v>
      </c>
      <c r="E10" s="44">
        <v>379</v>
      </c>
      <c r="F10" s="44">
        <v>216.1</v>
      </c>
      <c r="G10" s="44" t="s">
        <v>397</v>
      </c>
      <c r="H10" s="44">
        <v>216</v>
      </c>
      <c r="I10" s="44">
        <f>F10-H10</f>
        <v>9.9999999999994316E-2</v>
      </c>
      <c r="J10" s="46">
        <v>216</v>
      </c>
      <c r="K10" s="45">
        <v>756</v>
      </c>
      <c r="L10" s="45"/>
      <c r="M10" s="46">
        <f>J10/K10*100</f>
        <v>28.571428571428569</v>
      </c>
      <c r="N10" s="47">
        <f>IF(M10&lt;10,2,IF(M10&lt;20,3,IF(M10&lt;30,5,IF(M10&gt;=70,12,IF(M10&gt;=30,6)))))</f>
        <v>5</v>
      </c>
      <c r="O10" s="47">
        <v>3</v>
      </c>
      <c r="P10" s="123">
        <f>$P$6</f>
        <v>80000</v>
      </c>
      <c r="Q10" s="123">
        <f>H10*P10</f>
        <v>17280000</v>
      </c>
      <c r="R10" s="123">
        <f>Q10*3</f>
        <v>51840000</v>
      </c>
      <c r="S10" s="123">
        <f>N10*O10*17000*30</f>
        <v>7650000</v>
      </c>
      <c r="T10" s="123">
        <f>S10+R10+Q10</f>
        <v>76770000</v>
      </c>
      <c r="U10" s="124" t="s">
        <v>591</v>
      </c>
      <c r="V10" s="41"/>
      <c r="W10" s="41"/>
      <c r="X10" s="50" t="s">
        <v>0</v>
      </c>
      <c r="Y10" s="44">
        <v>216</v>
      </c>
      <c r="Z10" s="47">
        <v>97000</v>
      </c>
      <c r="AA10" s="43"/>
      <c r="AB10" s="51">
        <v>1</v>
      </c>
      <c r="AC10" s="52">
        <f>Y10*Z10*AB10</f>
        <v>20952000</v>
      </c>
      <c r="AD10" s="47">
        <f>AC10</f>
        <v>20952000</v>
      </c>
      <c r="AE10" s="53">
        <f>AD10+T10</f>
        <v>97722000</v>
      </c>
      <c r="AF10" s="54"/>
      <c r="AG10" s="55"/>
      <c r="AH10" s="55"/>
      <c r="AI10" s="55"/>
      <c r="AJ10" s="55"/>
      <c r="AK10" s="55"/>
    </row>
    <row r="11" spans="1:37" s="25" customFormat="1" ht="43.5" customHeight="1">
      <c r="A11" s="262">
        <v>3</v>
      </c>
      <c r="B11" s="271" t="s">
        <v>614</v>
      </c>
      <c r="C11" s="56"/>
      <c r="D11" s="279">
        <v>65</v>
      </c>
      <c r="E11" s="289">
        <v>34</v>
      </c>
      <c r="F11" s="289">
        <v>360</v>
      </c>
      <c r="G11" s="279" t="s">
        <v>397</v>
      </c>
      <c r="H11" s="262">
        <v>360</v>
      </c>
      <c r="I11" s="274">
        <f>F11-H11</f>
        <v>0</v>
      </c>
      <c r="J11" s="269">
        <v>360</v>
      </c>
      <c r="K11" s="262">
        <v>360</v>
      </c>
      <c r="L11" s="262"/>
      <c r="M11" s="269">
        <f>J11/K11*100</f>
        <v>100</v>
      </c>
      <c r="N11" s="264">
        <f>IF(M11&lt;10,2,IF(M11&lt;20,3,IF(M11&lt;30,5,IF(M11&gt;=70,12,IF(M11&gt;=30,6)))))</f>
        <v>12</v>
      </c>
      <c r="O11" s="264">
        <v>4</v>
      </c>
      <c r="P11" s="264">
        <f>$P$6</f>
        <v>80000</v>
      </c>
      <c r="Q11" s="264">
        <f>K11*P11</f>
        <v>28800000</v>
      </c>
      <c r="R11" s="264">
        <f>Q11*3</f>
        <v>86400000</v>
      </c>
      <c r="S11" s="264">
        <f>N11*O11*17000*30</f>
        <v>24480000</v>
      </c>
      <c r="T11" s="264">
        <f>S11+R11+Q11</f>
        <v>139680000</v>
      </c>
      <c r="U11" s="124" t="s">
        <v>591</v>
      </c>
      <c r="V11" s="117"/>
      <c r="W11" s="117"/>
      <c r="X11" s="50" t="s">
        <v>0</v>
      </c>
      <c r="Y11" s="123">
        <v>360</v>
      </c>
      <c r="Z11" s="123">
        <v>97000</v>
      </c>
      <c r="AA11" s="56"/>
      <c r="AB11" s="57">
        <v>1</v>
      </c>
      <c r="AC11" s="118">
        <f t="shared" ref="AC11:AC13" si="0">Y11*Z11*AB11</f>
        <v>34920000</v>
      </c>
      <c r="AD11" s="264">
        <f>AC11+AC12</f>
        <v>34920000</v>
      </c>
      <c r="AE11" s="268">
        <f>AD11+T11</f>
        <v>174600000</v>
      </c>
      <c r="AF11" s="58"/>
      <c r="AG11" s="59"/>
      <c r="AH11" s="59"/>
      <c r="AI11" s="59"/>
      <c r="AJ11" s="59"/>
      <c r="AK11" s="59"/>
    </row>
    <row r="12" spans="1:37" s="25" customFormat="1" ht="43.5" customHeight="1">
      <c r="A12" s="262"/>
      <c r="B12" s="271"/>
      <c r="C12" s="56"/>
      <c r="D12" s="279"/>
      <c r="E12" s="289"/>
      <c r="F12" s="289"/>
      <c r="G12" s="279"/>
      <c r="H12" s="262"/>
      <c r="I12" s="276"/>
      <c r="J12" s="269"/>
      <c r="K12" s="262"/>
      <c r="L12" s="262"/>
      <c r="M12" s="269"/>
      <c r="N12" s="264"/>
      <c r="O12" s="264"/>
      <c r="P12" s="264"/>
      <c r="Q12" s="264"/>
      <c r="R12" s="264"/>
      <c r="S12" s="264"/>
      <c r="T12" s="264"/>
      <c r="U12" s="124" t="s">
        <v>598</v>
      </c>
      <c r="V12" s="117"/>
      <c r="W12" s="117"/>
      <c r="X12" s="119" t="s">
        <v>628</v>
      </c>
      <c r="Y12" s="114">
        <v>19.95</v>
      </c>
      <c r="Z12" s="62">
        <v>0</v>
      </c>
      <c r="AA12" s="56"/>
      <c r="AB12" s="118">
        <v>0</v>
      </c>
      <c r="AC12" s="118">
        <f t="shared" si="0"/>
        <v>0</v>
      </c>
      <c r="AD12" s="262"/>
      <c r="AE12" s="283"/>
      <c r="AF12" s="58"/>
      <c r="AG12" s="59"/>
      <c r="AH12" s="59"/>
      <c r="AI12" s="59"/>
      <c r="AJ12" s="59"/>
      <c r="AK12" s="59"/>
    </row>
    <row r="13" spans="1:37" s="25" customFormat="1" ht="43.5" customHeight="1">
      <c r="A13" s="119">
        <v>4</v>
      </c>
      <c r="B13" s="124" t="s">
        <v>585</v>
      </c>
      <c r="C13" s="56"/>
      <c r="D13" s="128">
        <v>65</v>
      </c>
      <c r="E13" s="128">
        <v>12</v>
      </c>
      <c r="F13" s="128">
        <v>288</v>
      </c>
      <c r="G13" s="128" t="s">
        <v>397</v>
      </c>
      <c r="H13" s="119">
        <v>288</v>
      </c>
      <c r="I13" s="119">
        <f>F13-H13</f>
        <v>0</v>
      </c>
      <c r="J13" s="122">
        <v>288</v>
      </c>
      <c r="K13" s="119">
        <v>288</v>
      </c>
      <c r="L13" s="119"/>
      <c r="M13" s="122">
        <f>J13/K13*100</f>
        <v>100</v>
      </c>
      <c r="N13" s="123">
        <f>IF(M13&lt;10,2,IF(M13&lt;20,3,IF(M13&lt;30,5,IF(M13&gt;=70,12,IF(M13&gt;=30,6)))))</f>
        <v>12</v>
      </c>
      <c r="O13" s="123">
        <v>4</v>
      </c>
      <c r="P13" s="123">
        <f>$P$6</f>
        <v>80000</v>
      </c>
      <c r="Q13" s="123">
        <f>K13*P13</f>
        <v>23040000</v>
      </c>
      <c r="R13" s="123">
        <f>Q13*3</f>
        <v>69120000</v>
      </c>
      <c r="S13" s="123">
        <f>N13*O13*17000*30</f>
        <v>24480000</v>
      </c>
      <c r="T13" s="123">
        <f>S13+R13+Q13</f>
        <v>116640000</v>
      </c>
      <c r="U13" s="65" t="s">
        <v>623</v>
      </c>
      <c r="V13" s="50"/>
      <c r="W13" s="50"/>
      <c r="X13" s="50" t="s">
        <v>0</v>
      </c>
      <c r="Y13" s="123">
        <v>288</v>
      </c>
      <c r="Z13" s="62">
        <v>63000</v>
      </c>
      <c r="AA13" s="56"/>
      <c r="AB13" s="57">
        <v>1</v>
      </c>
      <c r="AC13" s="118">
        <f t="shared" si="0"/>
        <v>18144000</v>
      </c>
      <c r="AD13" s="123">
        <f>AC13</f>
        <v>18144000</v>
      </c>
      <c r="AE13" s="121">
        <f>AD13+T13</f>
        <v>134784000</v>
      </c>
      <c r="AF13" s="58"/>
      <c r="AG13" s="59"/>
      <c r="AH13" s="59"/>
      <c r="AI13" s="59"/>
      <c r="AJ13" s="59"/>
      <c r="AK13" s="59"/>
    </row>
    <row r="14" spans="1:37" s="25" customFormat="1" ht="34.5" customHeight="1">
      <c r="A14" s="262">
        <v>5</v>
      </c>
      <c r="B14" s="258" t="s">
        <v>586</v>
      </c>
      <c r="C14" s="56"/>
      <c r="D14" s="279">
        <v>64</v>
      </c>
      <c r="E14" s="279">
        <v>391</v>
      </c>
      <c r="F14" s="279">
        <v>252.1</v>
      </c>
      <c r="G14" s="279" t="s">
        <v>28</v>
      </c>
      <c r="H14" s="279">
        <v>252</v>
      </c>
      <c r="I14" s="284">
        <f>F14-H14</f>
        <v>9.9999999999994316E-2</v>
      </c>
      <c r="J14" s="280">
        <f>H14+H18</f>
        <v>612</v>
      </c>
      <c r="K14" s="262">
        <v>612</v>
      </c>
      <c r="L14" s="262"/>
      <c r="M14" s="262">
        <f>J14/K14*100</f>
        <v>100</v>
      </c>
      <c r="N14" s="262">
        <v>12</v>
      </c>
      <c r="O14" s="262">
        <v>7</v>
      </c>
      <c r="P14" s="264">
        <v>80000</v>
      </c>
      <c r="Q14" s="264">
        <f>P14*K14</f>
        <v>48960000</v>
      </c>
      <c r="R14" s="264">
        <f>Q14*3</f>
        <v>146880000</v>
      </c>
      <c r="S14" s="264">
        <f>N14*O14*17000*30</f>
        <v>42840000</v>
      </c>
      <c r="T14" s="264">
        <f>SUM(Q14:S24)</f>
        <v>238680000</v>
      </c>
      <c r="U14" s="65" t="s">
        <v>622</v>
      </c>
      <c r="V14" s="50">
        <v>25</v>
      </c>
      <c r="W14" s="50">
        <f>H14/V14</f>
        <v>10.08</v>
      </c>
      <c r="X14" s="119" t="str">
        <f>'[2]bang gia'!$C$46</f>
        <v>đồng/cây</v>
      </c>
      <c r="Y14" s="123">
        <v>13</v>
      </c>
      <c r="Z14" s="123"/>
      <c r="AA14" s="56"/>
      <c r="AB14" s="117"/>
      <c r="AC14" s="118"/>
      <c r="AD14" s="264">
        <f>SUM(AC14:AC17)</f>
        <v>51750000</v>
      </c>
      <c r="AE14" s="268">
        <f>T14+AD14+AD18</f>
        <v>362430000</v>
      </c>
      <c r="AF14" s="278" t="s">
        <v>415</v>
      </c>
      <c r="AG14" s="59"/>
      <c r="AH14" s="59"/>
      <c r="AI14" s="59"/>
      <c r="AJ14" s="59"/>
      <c r="AK14" s="59"/>
    </row>
    <row r="15" spans="1:37" s="25" customFormat="1" ht="27" customHeight="1">
      <c r="A15" s="262"/>
      <c r="B15" s="258"/>
      <c r="C15" s="56"/>
      <c r="D15" s="279"/>
      <c r="E15" s="279"/>
      <c r="F15" s="279"/>
      <c r="G15" s="279"/>
      <c r="H15" s="279"/>
      <c r="I15" s="285"/>
      <c r="J15" s="281"/>
      <c r="K15" s="262"/>
      <c r="L15" s="262"/>
      <c r="M15" s="262"/>
      <c r="N15" s="262"/>
      <c r="O15" s="262"/>
      <c r="P15" s="264"/>
      <c r="Q15" s="264"/>
      <c r="R15" s="264"/>
      <c r="S15" s="264"/>
      <c r="T15" s="264"/>
      <c r="U15" s="67" t="s">
        <v>421</v>
      </c>
      <c r="V15" s="50"/>
      <c r="W15" s="50"/>
      <c r="X15" s="119" t="str">
        <f>'[2]bang gia'!$C$46</f>
        <v>đồng/cây</v>
      </c>
      <c r="Y15" s="123">
        <v>10</v>
      </c>
      <c r="Z15" s="123">
        <f>'[2]bang gia'!$D$46</f>
        <v>4500000</v>
      </c>
      <c r="AA15" s="56"/>
      <c r="AB15" s="68">
        <v>1</v>
      </c>
      <c r="AC15" s="118">
        <f>Y15*Z15*AB15</f>
        <v>45000000</v>
      </c>
      <c r="AD15" s="262"/>
      <c r="AE15" s="268"/>
      <c r="AF15" s="278"/>
      <c r="AG15" s="59"/>
      <c r="AH15" s="59"/>
      <c r="AI15" s="59"/>
      <c r="AJ15" s="59"/>
      <c r="AK15" s="59"/>
    </row>
    <row r="16" spans="1:37" s="25" customFormat="1" ht="27" customHeight="1">
      <c r="A16" s="262"/>
      <c r="B16" s="258"/>
      <c r="C16" s="56"/>
      <c r="D16" s="279"/>
      <c r="E16" s="279"/>
      <c r="F16" s="279"/>
      <c r="G16" s="279"/>
      <c r="H16" s="279"/>
      <c r="I16" s="285"/>
      <c r="J16" s="281"/>
      <c r="K16" s="262"/>
      <c r="L16" s="262"/>
      <c r="M16" s="262"/>
      <c r="N16" s="262"/>
      <c r="O16" s="262"/>
      <c r="P16" s="264"/>
      <c r="Q16" s="264"/>
      <c r="R16" s="264"/>
      <c r="S16" s="264"/>
      <c r="T16" s="264"/>
      <c r="U16" s="67" t="s">
        <v>423</v>
      </c>
      <c r="V16" s="50"/>
      <c r="W16" s="50">
        <f>0.3*W14</f>
        <v>3.024</v>
      </c>
      <c r="X16" s="119" t="str">
        <f>'[2]bang gia'!$C$46</f>
        <v>đồng/cây</v>
      </c>
      <c r="Y16" s="123">
        <v>3</v>
      </c>
      <c r="Z16" s="123">
        <f>'[2]bang gia'!$D$46</f>
        <v>4500000</v>
      </c>
      <c r="AA16" s="56"/>
      <c r="AB16" s="57">
        <v>0.5</v>
      </c>
      <c r="AC16" s="118">
        <f>Y16*Z16*AB16</f>
        <v>6750000</v>
      </c>
      <c r="AD16" s="262"/>
      <c r="AE16" s="268"/>
      <c r="AF16" s="58"/>
      <c r="AG16" s="59"/>
      <c r="AH16" s="59"/>
      <c r="AI16" s="59"/>
      <c r="AJ16" s="59"/>
      <c r="AK16" s="59"/>
    </row>
    <row r="17" spans="1:37" s="25" customFormat="1" ht="27" customHeight="1">
      <c r="A17" s="262"/>
      <c r="B17" s="258"/>
      <c r="C17" s="56"/>
      <c r="D17" s="279"/>
      <c r="E17" s="279"/>
      <c r="F17" s="279"/>
      <c r="G17" s="279"/>
      <c r="H17" s="279"/>
      <c r="I17" s="286"/>
      <c r="J17" s="281"/>
      <c r="K17" s="262"/>
      <c r="L17" s="262"/>
      <c r="M17" s="262"/>
      <c r="N17" s="262"/>
      <c r="O17" s="262"/>
      <c r="P17" s="264"/>
      <c r="Q17" s="264"/>
      <c r="R17" s="264"/>
      <c r="S17" s="264"/>
      <c r="T17" s="264"/>
      <c r="U17" s="124" t="s">
        <v>600</v>
      </c>
      <c r="V17" s="117"/>
      <c r="W17" s="117"/>
      <c r="X17" s="119" t="s">
        <v>628</v>
      </c>
      <c r="Y17" s="114">
        <v>0.3</v>
      </c>
      <c r="Z17" s="117"/>
      <c r="AA17" s="56"/>
      <c r="AB17" s="57">
        <v>0</v>
      </c>
      <c r="AC17" s="119">
        <f>Y17*Z17*AB17</f>
        <v>0</v>
      </c>
      <c r="AD17" s="262"/>
      <c r="AE17" s="268"/>
      <c r="AF17" s="58"/>
      <c r="AG17" s="59"/>
      <c r="AH17" s="59"/>
      <c r="AI17" s="59"/>
      <c r="AJ17" s="59"/>
      <c r="AK17" s="59"/>
    </row>
    <row r="18" spans="1:37" s="25" customFormat="1" ht="33.75" customHeight="1">
      <c r="A18" s="262"/>
      <c r="B18" s="258"/>
      <c r="C18" s="56"/>
      <c r="D18" s="279">
        <v>64</v>
      </c>
      <c r="E18" s="279">
        <v>345</v>
      </c>
      <c r="F18" s="279">
        <v>359.5</v>
      </c>
      <c r="G18" s="279" t="s">
        <v>28</v>
      </c>
      <c r="H18" s="262">
        <v>360</v>
      </c>
      <c r="I18" s="274">
        <f>F18-H18</f>
        <v>-0.5</v>
      </c>
      <c r="J18" s="281"/>
      <c r="K18" s="262"/>
      <c r="L18" s="262"/>
      <c r="M18" s="262"/>
      <c r="N18" s="262"/>
      <c r="O18" s="262"/>
      <c r="P18" s="264"/>
      <c r="Q18" s="264"/>
      <c r="R18" s="264"/>
      <c r="S18" s="264"/>
      <c r="T18" s="264"/>
      <c r="U18" s="65" t="s">
        <v>465</v>
      </c>
      <c r="V18" s="50">
        <v>25</v>
      </c>
      <c r="W18" s="50">
        <f>H18/V18</f>
        <v>14.4</v>
      </c>
      <c r="X18" s="119" t="str">
        <f>'[1]bang gia'!$C$46</f>
        <v>đồng/cây</v>
      </c>
      <c r="Y18" s="123">
        <v>20</v>
      </c>
      <c r="Z18" s="123"/>
      <c r="AA18" s="56"/>
      <c r="AB18" s="119"/>
      <c r="AC18" s="118"/>
      <c r="AD18" s="264">
        <f>SUM(AC18:AC24)</f>
        <v>72000000</v>
      </c>
      <c r="AE18" s="268"/>
      <c r="AF18" s="278" t="s">
        <v>415</v>
      </c>
      <c r="AG18" s="59"/>
      <c r="AH18" s="59"/>
      <c r="AI18" s="59"/>
      <c r="AJ18" s="59"/>
      <c r="AK18" s="59"/>
    </row>
    <row r="19" spans="1:37" s="25" customFormat="1" ht="22.5" customHeight="1">
      <c r="A19" s="262"/>
      <c r="B19" s="258"/>
      <c r="C19" s="56"/>
      <c r="D19" s="279"/>
      <c r="E19" s="279"/>
      <c r="F19" s="279"/>
      <c r="G19" s="279"/>
      <c r="H19" s="262"/>
      <c r="I19" s="275"/>
      <c r="J19" s="281"/>
      <c r="K19" s="262"/>
      <c r="L19" s="262"/>
      <c r="M19" s="262"/>
      <c r="N19" s="262"/>
      <c r="O19" s="262"/>
      <c r="P19" s="264"/>
      <c r="Q19" s="264"/>
      <c r="R19" s="264"/>
      <c r="S19" s="264"/>
      <c r="T19" s="264"/>
      <c r="U19" s="67" t="s">
        <v>421</v>
      </c>
      <c r="V19" s="50"/>
      <c r="W19" s="50"/>
      <c r="X19" s="119" t="str">
        <f>'[1]bang gia'!$C$46</f>
        <v>đồng/cây</v>
      </c>
      <c r="Y19" s="123">
        <v>14</v>
      </c>
      <c r="Z19" s="123">
        <f>'[1]bang gia'!$D$46</f>
        <v>4500000</v>
      </c>
      <c r="AA19" s="56"/>
      <c r="AB19" s="57">
        <v>1</v>
      </c>
      <c r="AC19" s="118">
        <f t="shared" ref="AC19:AC21" si="1">Y19*Z19*AB19</f>
        <v>63000000</v>
      </c>
      <c r="AD19" s="264"/>
      <c r="AE19" s="268"/>
      <c r="AF19" s="278"/>
      <c r="AG19" s="59"/>
      <c r="AH19" s="59"/>
      <c r="AI19" s="59"/>
      <c r="AJ19" s="59"/>
      <c r="AK19" s="59"/>
    </row>
    <row r="20" spans="1:37" s="25" customFormat="1" ht="22.5" customHeight="1">
      <c r="A20" s="262"/>
      <c r="B20" s="258"/>
      <c r="C20" s="56"/>
      <c r="D20" s="279"/>
      <c r="E20" s="279"/>
      <c r="F20" s="279"/>
      <c r="G20" s="279"/>
      <c r="H20" s="262"/>
      <c r="I20" s="275"/>
      <c r="J20" s="281"/>
      <c r="K20" s="262"/>
      <c r="L20" s="262"/>
      <c r="M20" s="262"/>
      <c r="N20" s="262"/>
      <c r="O20" s="262"/>
      <c r="P20" s="264"/>
      <c r="Q20" s="264"/>
      <c r="R20" s="264"/>
      <c r="S20" s="264"/>
      <c r="T20" s="264"/>
      <c r="U20" s="67" t="s">
        <v>423</v>
      </c>
      <c r="V20" s="50"/>
      <c r="W20" s="50">
        <f>W18*0.3</f>
        <v>4.32</v>
      </c>
      <c r="X20" s="119" t="str">
        <f>'[1]bang gia'!$C$46</f>
        <v>đồng/cây</v>
      </c>
      <c r="Y20" s="123">
        <v>4</v>
      </c>
      <c r="Z20" s="123">
        <f>'[1]bang gia'!$D$46</f>
        <v>4500000</v>
      </c>
      <c r="AA20" s="56"/>
      <c r="AB20" s="57">
        <v>0.5</v>
      </c>
      <c r="AC20" s="118">
        <f t="shared" si="1"/>
        <v>9000000</v>
      </c>
      <c r="AD20" s="264"/>
      <c r="AE20" s="268"/>
      <c r="AF20" s="58"/>
      <c r="AG20" s="59"/>
      <c r="AH20" s="59"/>
      <c r="AI20" s="59"/>
      <c r="AJ20" s="59"/>
      <c r="AK20" s="59"/>
    </row>
    <row r="21" spans="1:37" s="25" customFormat="1" ht="22.5" customHeight="1">
      <c r="A21" s="262"/>
      <c r="B21" s="258"/>
      <c r="C21" s="56"/>
      <c r="D21" s="279"/>
      <c r="E21" s="279"/>
      <c r="F21" s="279"/>
      <c r="G21" s="279"/>
      <c r="H21" s="262"/>
      <c r="I21" s="275"/>
      <c r="J21" s="281"/>
      <c r="K21" s="262"/>
      <c r="L21" s="262"/>
      <c r="M21" s="262"/>
      <c r="N21" s="262"/>
      <c r="O21" s="262"/>
      <c r="P21" s="264"/>
      <c r="Q21" s="264"/>
      <c r="R21" s="264"/>
      <c r="S21" s="264"/>
      <c r="T21" s="264"/>
      <c r="U21" s="67" t="s">
        <v>424</v>
      </c>
      <c r="V21" s="50"/>
      <c r="W21" s="50"/>
      <c r="X21" s="119" t="str">
        <f>'[1]bang gia'!$C$46</f>
        <v>đồng/cây</v>
      </c>
      <c r="Y21" s="123">
        <v>2</v>
      </c>
      <c r="Z21" s="123">
        <f>'[1]bang gia'!$D$46</f>
        <v>4500000</v>
      </c>
      <c r="AA21" s="56"/>
      <c r="AB21" s="57">
        <v>0</v>
      </c>
      <c r="AC21" s="118">
        <f t="shared" si="1"/>
        <v>0</v>
      </c>
      <c r="AD21" s="264"/>
      <c r="AE21" s="268"/>
      <c r="AF21" s="58"/>
      <c r="AG21" s="59"/>
      <c r="AH21" s="59"/>
      <c r="AI21" s="59"/>
      <c r="AJ21" s="59"/>
      <c r="AK21" s="59"/>
    </row>
    <row r="22" spans="1:37" s="25" customFormat="1" ht="33.75" customHeight="1">
      <c r="A22" s="262"/>
      <c r="B22" s="258"/>
      <c r="C22" s="56"/>
      <c r="D22" s="279"/>
      <c r="E22" s="279"/>
      <c r="F22" s="279"/>
      <c r="G22" s="279"/>
      <c r="H22" s="262"/>
      <c r="I22" s="275"/>
      <c r="J22" s="281"/>
      <c r="K22" s="262"/>
      <c r="L22" s="262"/>
      <c r="M22" s="262"/>
      <c r="N22" s="262"/>
      <c r="O22" s="262"/>
      <c r="P22" s="264"/>
      <c r="Q22" s="264"/>
      <c r="R22" s="264"/>
      <c r="S22" s="264"/>
      <c r="T22" s="264"/>
      <c r="U22" s="120" t="s">
        <v>601</v>
      </c>
      <c r="V22" s="117"/>
      <c r="W22" s="117"/>
      <c r="X22" s="117" t="s">
        <v>6</v>
      </c>
      <c r="Y22" s="123">
        <f>144*1</f>
        <v>144</v>
      </c>
      <c r="Z22" s="117"/>
      <c r="AA22" s="56"/>
      <c r="AB22" s="57">
        <v>0</v>
      </c>
      <c r="AC22" s="119">
        <v>0</v>
      </c>
      <c r="AD22" s="262"/>
      <c r="AE22" s="268"/>
      <c r="AF22" s="58"/>
      <c r="AG22" s="59"/>
      <c r="AH22" s="59"/>
      <c r="AI22" s="59"/>
      <c r="AJ22" s="59"/>
      <c r="AK22" s="59"/>
    </row>
    <row r="23" spans="1:37" s="25" customFormat="1" ht="27" customHeight="1">
      <c r="A23" s="262"/>
      <c r="B23" s="258"/>
      <c r="C23" s="56"/>
      <c r="D23" s="279"/>
      <c r="E23" s="279"/>
      <c r="F23" s="279"/>
      <c r="G23" s="279"/>
      <c r="H23" s="262"/>
      <c r="I23" s="275"/>
      <c r="J23" s="281"/>
      <c r="K23" s="262"/>
      <c r="L23" s="262"/>
      <c r="M23" s="262"/>
      <c r="N23" s="262"/>
      <c r="O23" s="262"/>
      <c r="P23" s="264"/>
      <c r="Q23" s="264"/>
      <c r="R23" s="264"/>
      <c r="S23" s="264"/>
      <c r="T23" s="264"/>
      <c r="U23" s="124" t="s">
        <v>602</v>
      </c>
      <c r="V23" s="117"/>
      <c r="W23" s="117"/>
      <c r="X23" s="119" t="s">
        <v>628</v>
      </c>
      <c r="Y23" s="70">
        <v>1.2</v>
      </c>
      <c r="Z23" s="119"/>
      <c r="AA23" s="56"/>
      <c r="AB23" s="57">
        <v>0</v>
      </c>
      <c r="AC23" s="119">
        <v>0</v>
      </c>
      <c r="AD23" s="262"/>
      <c r="AE23" s="268"/>
      <c r="AF23" s="58"/>
      <c r="AG23" s="59"/>
      <c r="AH23" s="59"/>
      <c r="AI23" s="59"/>
      <c r="AJ23" s="59"/>
      <c r="AK23" s="59"/>
    </row>
    <row r="24" spans="1:37" s="25" customFormat="1" ht="27" customHeight="1">
      <c r="A24" s="262"/>
      <c r="B24" s="258"/>
      <c r="C24" s="56"/>
      <c r="D24" s="279"/>
      <c r="E24" s="279"/>
      <c r="F24" s="279"/>
      <c r="G24" s="279"/>
      <c r="H24" s="262"/>
      <c r="I24" s="276"/>
      <c r="J24" s="282"/>
      <c r="K24" s="262"/>
      <c r="L24" s="262"/>
      <c r="M24" s="262"/>
      <c r="N24" s="262"/>
      <c r="O24" s="262"/>
      <c r="P24" s="264"/>
      <c r="Q24" s="264"/>
      <c r="R24" s="264"/>
      <c r="S24" s="264"/>
      <c r="T24" s="264"/>
      <c r="U24" s="124" t="s">
        <v>603</v>
      </c>
      <c r="V24" s="117"/>
      <c r="W24" s="117"/>
      <c r="X24" s="117" t="s">
        <v>399</v>
      </c>
      <c r="Y24" s="118">
        <v>1</v>
      </c>
      <c r="Z24" s="123"/>
      <c r="AA24" s="56"/>
      <c r="AB24" s="57">
        <v>0</v>
      </c>
      <c r="AC24" s="119">
        <v>0</v>
      </c>
      <c r="AD24" s="262"/>
      <c r="AE24" s="268"/>
      <c r="AF24" s="58"/>
      <c r="AG24" s="59"/>
      <c r="AH24" s="59"/>
      <c r="AI24" s="59"/>
      <c r="AJ24" s="59"/>
      <c r="AK24" s="59"/>
    </row>
    <row r="25" spans="1:37" s="25" customFormat="1" ht="35.25" customHeight="1">
      <c r="A25" s="119">
        <v>6</v>
      </c>
      <c r="B25" s="124" t="s">
        <v>590</v>
      </c>
      <c r="C25" s="56"/>
      <c r="D25" s="128">
        <v>64</v>
      </c>
      <c r="E25" s="128">
        <v>383</v>
      </c>
      <c r="F25" s="128">
        <v>253</v>
      </c>
      <c r="G25" s="128" t="s">
        <v>397</v>
      </c>
      <c r="H25" s="119">
        <v>252</v>
      </c>
      <c r="I25" s="119">
        <f>F25-H25</f>
        <v>1</v>
      </c>
      <c r="J25" s="122">
        <v>252</v>
      </c>
      <c r="K25" s="119">
        <v>648</v>
      </c>
      <c r="L25" s="119"/>
      <c r="M25" s="122">
        <f>J25/K25*100</f>
        <v>38.888888888888893</v>
      </c>
      <c r="N25" s="123">
        <f>IF(M25&lt;10,2,IF(M25&lt;20,3,IF(M25&lt;30,5,IF(M25&gt;=70,12,IF(M25&gt;=30,6)))))</f>
        <v>6</v>
      </c>
      <c r="O25" s="123">
        <v>3</v>
      </c>
      <c r="P25" s="123">
        <f>$P$6</f>
        <v>80000</v>
      </c>
      <c r="Q25" s="123">
        <f>J25*P25</f>
        <v>20160000</v>
      </c>
      <c r="R25" s="123">
        <f>Q25*3</f>
        <v>60480000</v>
      </c>
      <c r="S25" s="123">
        <f>N25*O25*17000*30</f>
        <v>9180000</v>
      </c>
      <c r="T25" s="123">
        <f>S25+R25+Q25</f>
        <v>89820000</v>
      </c>
      <c r="U25" s="124" t="s">
        <v>591</v>
      </c>
      <c r="V25" s="50"/>
      <c r="W25" s="50"/>
      <c r="X25" s="50" t="s">
        <v>0</v>
      </c>
      <c r="Y25" s="118">
        <v>252</v>
      </c>
      <c r="Z25" s="123">
        <v>97000</v>
      </c>
      <c r="AA25" s="56"/>
      <c r="AB25" s="57">
        <v>1</v>
      </c>
      <c r="AC25" s="118">
        <f>Y25*Z25*AB25</f>
        <v>24444000</v>
      </c>
      <c r="AD25" s="123">
        <f>AC25</f>
        <v>24444000</v>
      </c>
      <c r="AE25" s="121">
        <f>AD25+T25</f>
        <v>114264000</v>
      </c>
      <c r="AF25" s="58"/>
      <c r="AG25" s="59"/>
      <c r="AH25" s="59"/>
      <c r="AI25" s="59"/>
      <c r="AJ25" s="59"/>
      <c r="AK25" s="59"/>
    </row>
    <row r="26" spans="1:37" s="17" customFormat="1" ht="27" customHeight="1">
      <c r="A26" s="131"/>
      <c r="B26" s="72" t="s">
        <v>407</v>
      </c>
      <c r="C26" s="73"/>
      <c r="D26" s="74"/>
      <c r="E26" s="74"/>
      <c r="F26" s="74"/>
      <c r="G26" s="74"/>
      <c r="H26" s="131"/>
      <c r="I26" s="75"/>
      <c r="J26" s="119"/>
      <c r="K26" s="119"/>
      <c r="L26" s="131"/>
      <c r="M26" s="76"/>
      <c r="N26" s="121"/>
      <c r="O26" s="121"/>
      <c r="P26" s="121"/>
      <c r="Q26" s="121"/>
      <c r="R26" s="121"/>
      <c r="S26" s="121"/>
      <c r="T26" s="121"/>
      <c r="U26" s="36"/>
      <c r="V26" s="75"/>
      <c r="W26" s="75"/>
      <c r="X26" s="131"/>
      <c r="Y26" s="121"/>
      <c r="Z26" s="121"/>
      <c r="AA26" s="73"/>
      <c r="AB26" s="125"/>
      <c r="AC26" s="116"/>
      <c r="AD26" s="121"/>
      <c r="AE26" s="121"/>
      <c r="AF26" s="77"/>
      <c r="AG26" s="78"/>
      <c r="AH26" s="78"/>
      <c r="AI26" s="78"/>
      <c r="AJ26" s="78"/>
      <c r="AK26" s="78"/>
    </row>
    <row r="27" spans="1:37" s="19" customFormat="1" ht="37.5" customHeight="1">
      <c r="A27" s="262">
        <v>7</v>
      </c>
      <c r="B27" s="263" t="s">
        <v>466</v>
      </c>
      <c r="C27" s="119"/>
      <c r="D27" s="258">
        <v>64</v>
      </c>
      <c r="E27" s="258">
        <v>418</v>
      </c>
      <c r="F27" s="258">
        <v>1074.5999999999999</v>
      </c>
      <c r="G27" s="258" t="s">
        <v>28</v>
      </c>
      <c r="H27" s="250">
        <v>1080</v>
      </c>
      <c r="I27" s="256">
        <f>F27-H27</f>
        <v>-5.4000000000000909</v>
      </c>
      <c r="J27" s="264">
        <v>1080</v>
      </c>
      <c r="K27" s="264">
        <v>1440</v>
      </c>
      <c r="L27" s="119"/>
      <c r="M27" s="269">
        <f>J27/K27*100</f>
        <v>75</v>
      </c>
      <c r="N27" s="264">
        <v>12</v>
      </c>
      <c r="O27" s="264">
        <v>7</v>
      </c>
      <c r="P27" s="264">
        <v>80000</v>
      </c>
      <c r="Q27" s="264">
        <f>P27*J27</f>
        <v>86400000</v>
      </c>
      <c r="R27" s="264">
        <f>Q27*3</f>
        <v>259200000</v>
      </c>
      <c r="S27" s="264">
        <f>N27*O27*17000*30</f>
        <v>42840000</v>
      </c>
      <c r="T27" s="264">
        <f>SUM(Q27:S40)</f>
        <v>388440000</v>
      </c>
      <c r="U27" s="65" t="s">
        <v>457</v>
      </c>
      <c r="V27" s="126">
        <v>25</v>
      </c>
      <c r="W27" s="126">
        <f>(H27-Y29-6-1)/V27</f>
        <v>21.32</v>
      </c>
      <c r="X27" s="117" t="s">
        <v>2</v>
      </c>
      <c r="Y27" s="118">
        <v>14</v>
      </c>
      <c r="Z27" s="62"/>
      <c r="AA27" s="79"/>
      <c r="AB27" s="80"/>
      <c r="AC27" s="118"/>
      <c r="AD27" s="250">
        <f>SUM(AC27:AC40)</f>
        <v>173950000</v>
      </c>
      <c r="AE27" s="251">
        <f>T27+AD27</f>
        <v>562390000</v>
      </c>
      <c r="AF27" s="31" t="s">
        <v>428</v>
      </c>
      <c r="AG27" s="81"/>
      <c r="AH27" s="81"/>
      <c r="AI27" s="81"/>
      <c r="AJ27" s="81"/>
      <c r="AK27" s="81"/>
    </row>
    <row r="28" spans="1:37" s="19" customFormat="1" ht="21.75" customHeight="1">
      <c r="A28" s="262"/>
      <c r="B28" s="263"/>
      <c r="C28" s="119"/>
      <c r="D28" s="258"/>
      <c r="E28" s="258"/>
      <c r="F28" s="258"/>
      <c r="G28" s="258"/>
      <c r="H28" s="250"/>
      <c r="I28" s="256"/>
      <c r="J28" s="264"/>
      <c r="K28" s="264"/>
      <c r="L28" s="119"/>
      <c r="M28" s="269"/>
      <c r="N28" s="264"/>
      <c r="O28" s="264"/>
      <c r="P28" s="264"/>
      <c r="Q28" s="264"/>
      <c r="R28" s="264"/>
      <c r="S28" s="264"/>
      <c r="T28" s="264"/>
      <c r="U28" s="67" t="s">
        <v>421</v>
      </c>
      <c r="V28" s="126"/>
      <c r="W28" s="126"/>
      <c r="X28" s="117" t="s">
        <v>2</v>
      </c>
      <c r="Y28" s="118">
        <v>14</v>
      </c>
      <c r="Z28" s="62">
        <v>4500000</v>
      </c>
      <c r="AA28" s="79"/>
      <c r="AB28" s="80">
        <v>1</v>
      </c>
      <c r="AC28" s="118">
        <f>Y28*Z28*AB28</f>
        <v>63000000</v>
      </c>
      <c r="AD28" s="250"/>
      <c r="AE28" s="251"/>
      <c r="AF28" s="31"/>
      <c r="AG28" s="81"/>
      <c r="AH28" s="81"/>
      <c r="AI28" s="81"/>
      <c r="AJ28" s="81"/>
      <c r="AK28" s="81"/>
    </row>
    <row r="29" spans="1:37" s="19" customFormat="1" ht="21.75" customHeight="1">
      <c r="A29" s="262"/>
      <c r="B29" s="263"/>
      <c r="C29" s="119"/>
      <c r="D29" s="258"/>
      <c r="E29" s="258"/>
      <c r="F29" s="258"/>
      <c r="G29" s="258"/>
      <c r="H29" s="250"/>
      <c r="I29" s="256"/>
      <c r="J29" s="264"/>
      <c r="K29" s="264"/>
      <c r="L29" s="119"/>
      <c r="M29" s="269"/>
      <c r="N29" s="264"/>
      <c r="O29" s="264"/>
      <c r="P29" s="264"/>
      <c r="Q29" s="264"/>
      <c r="R29" s="264"/>
      <c r="S29" s="264"/>
      <c r="T29" s="264"/>
      <c r="U29" s="82" t="s">
        <v>467</v>
      </c>
      <c r="V29" s="126"/>
      <c r="W29" s="126"/>
      <c r="X29" s="117" t="s">
        <v>0</v>
      </c>
      <c r="Y29" s="83">
        <v>540</v>
      </c>
      <c r="Z29" s="62">
        <v>180000</v>
      </c>
      <c r="AA29" s="84"/>
      <c r="AB29" s="68">
        <v>1</v>
      </c>
      <c r="AC29" s="118">
        <f>Y29*Z29*AB29</f>
        <v>97200000</v>
      </c>
      <c r="AD29" s="250"/>
      <c r="AE29" s="251"/>
      <c r="AF29" s="31"/>
      <c r="AG29" s="81"/>
      <c r="AH29" s="81"/>
      <c r="AI29" s="81"/>
      <c r="AJ29" s="81"/>
      <c r="AK29" s="81"/>
    </row>
    <row r="30" spans="1:37" s="19" customFormat="1" ht="33.75" customHeight="1">
      <c r="A30" s="262"/>
      <c r="B30" s="263"/>
      <c r="C30" s="119"/>
      <c r="D30" s="258"/>
      <c r="E30" s="258"/>
      <c r="F30" s="258"/>
      <c r="G30" s="258"/>
      <c r="H30" s="250"/>
      <c r="I30" s="256"/>
      <c r="J30" s="264"/>
      <c r="K30" s="264"/>
      <c r="L30" s="119"/>
      <c r="M30" s="269"/>
      <c r="N30" s="264"/>
      <c r="O30" s="264"/>
      <c r="P30" s="264"/>
      <c r="Q30" s="264"/>
      <c r="R30" s="264"/>
      <c r="S30" s="264"/>
      <c r="T30" s="264"/>
      <c r="U30" s="65" t="s">
        <v>468</v>
      </c>
      <c r="V30" s="126"/>
      <c r="W30" s="126"/>
      <c r="X30" s="117" t="s">
        <v>2</v>
      </c>
      <c r="Y30" s="118">
        <v>5</v>
      </c>
      <c r="Z30" s="62"/>
      <c r="AA30" s="79"/>
      <c r="AB30" s="80"/>
      <c r="AC30" s="118">
        <f t="shared" ref="AC30:AC31" si="2">Y30*Z30*AB30</f>
        <v>0</v>
      </c>
      <c r="AD30" s="250"/>
      <c r="AE30" s="251"/>
      <c r="AF30" s="31"/>
      <c r="AG30" s="81"/>
      <c r="AH30" s="81"/>
      <c r="AI30" s="81"/>
      <c r="AJ30" s="81"/>
      <c r="AK30" s="81"/>
    </row>
    <row r="31" spans="1:37" s="19" customFormat="1" ht="21.75" customHeight="1">
      <c r="A31" s="262"/>
      <c r="B31" s="263"/>
      <c r="C31" s="119"/>
      <c r="D31" s="258"/>
      <c r="E31" s="258"/>
      <c r="F31" s="258"/>
      <c r="G31" s="258"/>
      <c r="H31" s="250"/>
      <c r="I31" s="256"/>
      <c r="J31" s="264"/>
      <c r="K31" s="264"/>
      <c r="L31" s="119"/>
      <c r="M31" s="269"/>
      <c r="N31" s="264"/>
      <c r="O31" s="264"/>
      <c r="P31" s="264"/>
      <c r="Q31" s="264"/>
      <c r="R31" s="264"/>
      <c r="S31" s="264"/>
      <c r="T31" s="264"/>
      <c r="U31" s="67" t="s">
        <v>421</v>
      </c>
      <c r="V31" s="126">
        <v>20</v>
      </c>
      <c r="W31" s="126">
        <f>(1080-Y29-6-1)/V31</f>
        <v>26.65</v>
      </c>
      <c r="X31" s="117" t="s">
        <v>2</v>
      </c>
      <c r="Y31" s="118">
        <v>5</v>
      </c>
      <c r="Z31" s="62">
        <v>2500000</v>
      </c>
      <c r="AA31" s="79"/>
      <c r="AB31" s="68">
        <v>0.5</v>
      </c>
      <c r="AC31" s="118">
        <f t="shared" si="2"/>
        <v>6250000</v>
      </c>
      <c r="AD31" s="250"/>
      <c r="AE31" s="251"/>
      <c r="AF31" s="31"/>
      <c r="AG31" s="81"/>
      <c r="AH31" s="81"/>
      <c r="AI31" s="81"/>
      <c r="AJ31" s="81"/>
      <c r="AK31" s="81"/>
    </row>
    <row r="32" spans="1:37" s="19" customFormat="1" ht="33" customHeight="1">
      <c r="A32" s="262"/>
      <c r="B32" s="263"/>
      <c r="C32" s="119"/>
      <c r="D32" s="258"/>
      <c r="E32" s="258"/>
      <c r="F32" s="258"/>
      <c r="G32" s="258"/>
      <c r="H32" s="250"/>
      <c r="I32" s="256"/>
      <c r="J32" s="264"/>
      <c r="K32" s="264"/>
      <c r="L32" s="119"/>
      <c r="M32" s="269"/>
      <c r="N32" s="264"/>
      <c r="O32" s="264"/>
      <c r="P32" s="264"/>
      <c r="Q32" s="264"/>
      <c r="R32" s="264"/>
      <c r="S32" s="264"/>
      <c r="T32" s="264"/>
      <c r="U32" s="65" t="s">
        <v>469</v>
      </c>
      <c r="V32" s="126">
        <v>25</v>
      </c>
      <c r="W32" s="126">
        <f>(1080-Y30-6-1)/V32</f>
        <v>42.72</v>
      </c>
      <c r="X32" s="117" t="s">
        <v>2</v>
      </c>
      <c r="Y32" s="118">
        <v>15</v>
      </c>
      <c r="Z32" s="62"/>
      <c r="AA32" s="79"/>
      <c r="AB32" s="80"/>
      <c r="AC32" s="118"/>
      <c r="AD32" s="250"/>
      <c r="AE32" s="251"/>
      <c r="AF32" s="31"/>
      <c r="AG32" s="81"/>
      <c r="AH32" s="81"/>
      <c r="AI32" s="81"/>
      <c r="AJ32" s="81"/>
      <c r="AK32" s="81"/>
    </row>
    <row r="33" spans="1:37" s="19" customFormat="1" ht="23.25" customHeight="1">
      <c r="A33" s="262"/>
      <c r="B33" s="263"/>
      <c r="C33" s="119"/>
      <c r="D33" s="258"/>
      <c r="E33" s="258"/>
      <c r="F33" s="258"/>
      <c r="G33" s="258"/>
      <c r="H33" s="250"/>
      <c r="I33" s="256"/>
      <c r="J33" s="264"/>
      <c r="K33" s="264"/>
      <c r="L33" s="119"/>
      <c r="M33" s="269"/>
      <c r="N33" s="264"/>
      <c r="O33" s="264"/>
      <c r="P33" s="264"/>
      <c r="Q33" s="264"/>
      <c r="R33" s="264"/>
      <c r="S33" s="264"/>
      <c r="T33" s="264"/>
      <c r="U33" s="67" t="s">
        <v>421</v>
      </c>
      <c r="V33" s="126"/>
      <c r="W33" s="126"/>
      <c r="X33" s="117" t="s">
        <v>2</v>
      </c>
      <c r="Y33" s="118">
        <v>15</v>
      </c>
      <c r="Z33" s="62">
        <v>1000000</v>
      </c>
      <c r="AA33" s="79"/>
      <c r="AB33" s="68">
        <v>0.5</v>
      </c>
      <c r="AC33" s="118">
        <f t="shared" ref="AC33:AC41" si="3">Y33*Z33*AB33</f>
        <v>7500000</v>
      </c>
      <c r="AD33" s="250"/>
      <c r="AE33" s="251"/>
      <c r="AF33" s="31"/>
      <c r="AG33" s="81"/>
      <c r="AH33" s="81"/>
      <c r="AI33" s="81"/>
      <c r="AJ33" s="81"/>
      <c r="AK33" s="81"/>
    </row>
    <row r="34" spans="1:37" s="19" customFormat="1" ht="51" customHeight="1">
      <c r="A34" s="262"/>
      <c r="B34" s="263"/>
      <c r="C34" s="119"/>
      <c r="D34" s="258"/>
      <c r="E34" s="258"/>
      <c r="F34" s="258"/>
      <c r="G34" s="258"/>
      <c r="H34" s="250"/>
      <c r="I34" s="256"/>
      <c r="J34" s="264"/>
      <c r="K34" s="264"/>
      <c r="L34" s="119"/>
      <c r="M34" s="269"/>
      <c r="N34" s="264"/>
      <c r="O34" s="264"/>
      <c r="P34" s="264"/>
      <c r="Q34" s="264"/>
      <c r="R34" s="264"/>
      <c r="S34" s="264"/>
      <c r="T34" s="264"/>
      <c r="U34" s="124" t="s">
        <v>470</v>
      </c>
      <c r="V34" s="126"/>
      <c r="W34" s="126"/>
      <c r="X34" s="117" t="s">
        <v>0</v>
      </c>
      <c r="Y34" s="118">
        <v>161</v>
      </c>
      <c r="Z34" s="62"/>
      <c r="AA34" s="79"/>
      <c r="AB34" s="80">
        <v>0</v>
      </c>
      <c r="AC34" s="118">
        <f t="shared" si="3"/>
        <v>0</v>
      </c>
      <c r="AD34" s="250"/>
      <c r="AE34" s="251"/>
      <c r="AF34" s="31"/>
      <c r="AG34" s="81"/>
      <c r="AH34" s="81"/>
      <c r="AI34" s="81"/>
      <c r="AJ34" s="81"/>
      <c r="AK34" s="81"/>
    </row>
    <row r="35" spans="1:37" s="19" customFormat="1" ht="58.5" customHeight="1">
      <c r="A35" s="262"/>
      <c r="B35" s="263"/>
      <c r="C35" s="119"/>
      <c r="D35" s="258"/>
      <c r="E35" s="258"/>
      <c r="F35" s="258"/>
      <c r="G35" s="258"/>
      <c r="H35" s="250"/>
      <c r="I35" s="256"/>
      <c r="J35" s="264"/>
      <c r="K35" s="264"/>
      <c r="L35" s="119"/>
      <c r="M35" s="269"/>
      <c r="N35" s="264"/>
      <c r="O35" s="264"/>
      <c r="P35" s="264"/>
      <c r="Q35" s="264"/>
      <c r="R35" s="264"/>
      <c r="S35" s="264"/>
      <c r="T35" s="264"/>
      <c r="U35" s="124" t="s">
        <v>471</v>
      </c>
      <c r="V35" s="126"/>
      <c r="W35" s="126"/>
      <c r="X35" s="117" t="s">
        <v>400</v>
      </c>
      <c r="Y35" s="118">
        <v>80</v>
      </c>
      <c r="Z35" s="62"/>
      <c r="AA35" s="79"/>
      <c r="AB35" s="80">
        <v>0</v>
      </c>
      <c r="AC35" s="118">
        <f t="shared" si="3"/>
        <v>0</v>
      </c>
      <c r="AD35" s="250"/>
      <c r="AE35" s="251"/>
      <c r="AF35" s="31"/>
      <c r="AG35" s="81"/>
      <c r="AH35" s="81"/>
      <c r="AI35" s="81"/>
      <c r="AJ35" s="81"/>
      <c r="AK35" s="81"/>
    </row>
    <row r="36" spans="1:37" s="19" customFormat="1" ht="53.25" customHeight="1">
      <c r="A36" s="262"/>
      <c r="B36" s="263"/>
      <c r="C36" s="119"/>
      <c r="D36" s="258"/>
      <c r="E36" s="258"/>
      <c r="F36" s="258"/>
      <c r="G36" s="258"/>
      <c r="H36" s="250"/>
      <c r="I36" s="256"/>
      <c r="J36" s="264"/>
      <c r="K36" s="264"/>
      <c r="L36" s="119"/>
      <c r="M36" s="269"/>
      <c r="N36" s="264"/>
      <c r="O36" s="264"/>
      <c r="P36" s="264"/>
      <c r="Q36" s="264"/>
      <c r="R36" s="264"/>
      <c r="S36" s="264"/>
      <c r="T36" s="264"/>
      <c r="U36" s="124" t="s">
        <v>472</v>
      </c>
      <c r="V36" s="126"/>
      <c r="W36" s="126"/>
      <c r="X36" s="117" t="s">
        <v>630</v>
      </c>
      <c r="Y36" s="118">
        <v>6</v>
      </c>
      <c r="Z36" s="62"/>
      <c r="AA36" s="79"/>
      <c r="AB36" s="80">
        <v>0</v>
      </c>
      <c r="AC36" s="118">
        <f t="shared" si="3"/>
        <v>0</v>
      </c>
      <c r="AD36" s="250"/>
      <c r="AE36" s="251"/>
      <c r="AF36" s="31"/>
      <c r="AG36" s="81"/>
      <c r="AH36" s="81"/>
      <c r="AI36" s="81"/>
      <c r="AJ36" s="81"/>
      <c r="AK36" s="81"/>
    </row>
    <row r="37" spans="1:37" s="19" customFormat="1" ht="21.75" customHeight="1">
      <c r="A37" s="262"/>
      <c r="B37" s="263"/>
      <c r="C37" s="119"/>
      <c r="D37" s="258"/>
      <c r="E37" s="258"/>
      <c r="F37" s="258"/>
      <c r="G37" s="258"/>
      <c r="H37" s="250"/>
      <c r="I37" s="256"/>
      <c r="J37" s="264"/>
      <c r="K37" s="264"/>
      <c r="L37" s="119"/>
      <c r="M37" s="269"/>
      <c r="N37" s="264"/>
      <c r="O37" s="264"/>
      <c r="P37" s="264"/>
      <c r="Q37" s="264"/>
      <c r="R37" s="264"/>
      <c r="S37" s="264"/>
      <c r="T37" s="264"/>
      <c r="U37" s="124" t="s">
        <v>473</v>
      </c>
      <c r="V37" s="126"/>
      <c r="W37" s="126"/>
      <c r="X37" s="117" t="s">
        <v>400</v>
      </c>
      <c r="Y37" s="118">
        <v>12</v>
      </c>
      <c r="Z37" s="62"/>
      <c r="AA37" s="79"/>
      <c r="AB37" s="80">
        <v>0</v>
      </c>
      <c r="AC37" s="118">
        <f t="shared" si="3"/>
        <v>0</v>
      </c>
      <c r="AD37" s="250"/>
      <c r="AE37" s="251"/>
      <c r="AF37" s="31"/>
      <c r="AG37" s="81"/>
      <c r="AH37" s="81"/>
      <c r="AI37" s="81"/>
      <c r="AJ37" s="81"/>
      <c r="AK37" s="81"/>
    </row>
    <row r="38" spans="1:37" s="19" customFormat="1" ht="30.75" customHeight="1">
      <c r="A38" s="262"/>
      <c r="B38" s="263"/>
      <c r="C38" s="119"/>
      <c r="D38" s="258"/>
      <c r="E38" s="258"/>
      <c r="F38" s="258"/>
      <c r="G38" s="258"/>
      <c r="H38" s="250"/>
      <c r="I38" s="256"/>
      <c r="J38" s="264"/>
      <c r="K38" s="264"/>
      <c r="L38" s="119"/>
      <c r="M38" s="269"/>
      <c r="N38" s="264"/>
      <c r="O38" s="264"/>
      <c r="P38" s="264"/>
      <c r="Q38" s="264"/>
      <c r="R38" s="264"/>
      <c r="S38" s="264"/>
      <c r="T38" s="264"/>
      <c r="U38" s="124" t="s">
        <v>474</v>
      </c>
      <c r="V38" s="126"/>
      <c r="W38" s="126"/>
      <c r="X38" s="117" t="s">
        <v>399</v>
      </c>
      <c r="Y38" s="118">
        <v>1</v>
      </c>
      <c r="Z38" s="62"/>
      <c r="AA38" s="79"/>
      <c r="AB38" s="80">
        <v>0</v>
      </c>
      <c r="AC38" s="118">
        <f t="shared" si="3"/>
        <v>0</v>
      </c>
      <c r="AD38" s="250"/>
      <c r="AE38" s="251"/>
      <c r="AF38" s="31"/>
      <c r="AG38" s="81"/>
      <c r="AH38" s="81"/>
      <c r="AI38" s="81"/>
      <c r="AJ38" s="81"/>
      <c r="AK38" s="81"/>
    </row>
    <row r="39" spans="1:37" s="19" customFormat="1" ht="36.75" customHeight="1">
      <c r="A39" s="262"/>
      <c r="B39" s="263"/>
      <c r="C39" s="119"/>
      <c r="D39" s="258"/>
      <c r="E39" s="258"/>
      <c r="F39" s="258"/>
      <c r="G39" s="258"/>
      <c r="H39" s="250"/>
      <c r="I39" s="256"/>
      <c r="J39" s="264"/>
      <c r="K39" s="264"/>
      <c r="L39" s="119"/>
      <c r="M39" s="269"/>
      <c r="N39" s="264"/>
      <c r="O39" s="264"/>
      <c r="P39" s="264"/>
      <c r="Q39" s="264"/>
      <c r="R39" s="264"/>
      <c r="S39" s="264"/>
      <c r="T39" s="264"/>
      <c r="U39" s="124" t="s">
        <v>475</v>
      </c>
      <c r="V39" s="126"/>
      <c r="W39" s="126"/>
      <c r="X39" s="117" t="s">
        <v>630</v>
      </c>
      <c r="Y39" s="118">
        <v>1.3</v>
      </c>
      <c r="Z39" s="62"/>
      <c r="AA39" s="79"/>
      <c r="AB39" s="80">
        <v>0</v>
      </c>
      <c r="AC39" s="118">
        <f t="shared" si="3"/>
        <v>0</v>
      </c>
      <c r="AD39" s="250"/>
      <c r="AE39" s="251"/>
      <c r="AF39" s="31"/>
      <c r="AG39" s="81"/>
      <c r="AH39" s="81"/>
      <c r="AI39" s="81"/>
      <c r="AJ39" s="81"/>
      <c r="AK39" s="81"/>
    </row>
    <row r="40" spans="1:37" s="19" customFormat="1" ht="23.25" customHeight="1">
      <c r="A40" s="262"/>
      <c r="B40" s="263"/>
      <c r="C40" s="119"/>
      <c r="D40" s="258"/>
      <c r="E40" s="258"/>
      <c r="F40" s="258"/>
      <c r="G40" s="258"/>
      <c r="H40" s="250"/>
      <c r="I40" s="256"/>
      <c r="J40" s="264"/>
      <c r="K40" s="264"/>
      <c r="L40" s="119"/>
      <c r="M40" s="269"/>
      <c r="N40" s="264"/>
      <c r="O40" s="264"/>
      <c r="P40" s="264"/>
      <c r="Q40" s="264"/>
      <c r="R40" s="264"/>
      <c r="S40" s="264"/>
      <c r="T40" s="264"/>
      <c r="U40" s="124" t="s">
        <v>476</v>
      </c>
      <c r="V40" s="110"/>
      <c r="W40" s="110"/>
      <c r="X40" s="117" t="s">
        <v>0</v>
      </c>
      <c r="Y40" s="118">
        <v>8</v>
      </c>
      <c r="Z40" s="62"/>
      <c r="AA40" s="79"/>
      <c r="AB40" s="80">
        <v>0</v>
      </c>
      <c r="AC40" s="118">
        <f t="shared" si="3"/>
        <v>0</v>
      </c>
      <c r="AD40" s="250"/>
      <c r="AE40" s="251"/>
      <c r="AF40" s="31"/>
      <c r="AG40" s="81"/>
      <c r="AH40" s="81"/>
      <c r="AI40" s="81"/>
      <c r="AJ40" s="81"/>
      <c r="AK40" s="81"/>
    </row>
    <row r="41" spans="1:37" s="19" customFormat="1" ht="24" customHeight="1">
      <c r="A41" s="262">
        <v>8</v>
      </c>
      <c r="B41" s="271" t="s">
        <v>494</v>
      </c>
      <c r="C41" s="258" t="s">
        <v>39</v>
      </c>
      <c r="D41" s="258">
        <v>64</v>
      </c>
      <c r="E41" s="258">
        <v>414</v>
      </c>
      <c r="F41" s="258">
        <v>1432.8</v>
      </c>
      <c r="G41" s="258" t="s">
        <v>28</v>
      </c>
      <c r="H41" s="250">
        <v>1440</v>
      </c>
      <c r="I41" s="256">
        <f>F41-H41</f>
        <v>-7.2000000000000455</v>
      </c>
      <c r="J41" s="250">
        <f>H41+H58</f>
        <v>1836</v>
      </c>
      <c r="K41" s="250">
        <v>3276</v>
      </c>
      <c r="L41" s="250"/>
      <c r="M41" s="256">
        <f>J41/K41*100</f>
        <v>56.043956043956044</v>
      </c>
      <c r="N41" s="250">
        <v>6</v>
      </c>
      <c r="O41" s="250">
        <v>5</v>
      </c>
      <c r="P41" s="250">
        <v>80000</v>
      </c>
      <c r="Q41" s="250">
        <f>P41*J41</f>
        <v>146880000</v>
      </c>
      <c r="R41" s="250">
        <f>Q41*3</f>
        <v>440640000</v>
      </c>
      <c r="S41" s="250">
        <f>N41*O41*17000*30</f>
        <v>15300000</v>
      </c>
      <c r="T41" s="250">
        <f>SUM(Q41:S58)</f>
        <v>602820000</v>
      </c>
      <c r="U41" s="82" t="s">
        <v>446</v>
      </c>
      <c r="V41" s="126"/>
      <c r="W41" s="126"/>
      <c r="X41" s="117" t="s">
        <v>0</v>
      </c>
      <c r="Y41" s="83">
        <v>720</v>
      </c>
      <c r="Z41" s="62">
        <v>180000</v>
      </c>
      <c r="AA41" s="84"/>
      <c r="AB41" s="68">
        <v>1</v>
      </c>
      <c r="AC41" s="118">
        <f t="shared" si="3"/>
        <v>129600000</v>
      </c>
      <c r="AD41" s="250">
        <f>SUM(AC41:AC57)</f>
        <v>257652000</v>
      </c>
      <c r="AE41" s="251">
        <f>T41+AD41+AD58</f>
        <v>931212000</v>
      </c>
      <c r="AF41" s="31" t="s">
        <v>398</v>
      </c>
      <c r="AG41" s="81"/>
      <c r="AH41" s="81"/>
      <c r="AI41" s="81"/>
      <c r="AJ41" s="81"/>
      <c r="AK41" s="81"/>
    </row>
    <row r="42" spans="1:37" s="19" customFormat="1" ht="34.5" customHeight="1">
      <c r="A42" s="262"/>
      <c r="B42" s="271"/>
      <c r="C42" s="258"/>
      <c r="D42" s="258"/>
      <c r="E42" s="258"/>
      <c r="F42" s="258"/>
      <c r="G42" s="258"/>
      <c r="H42" s="250"/>
      <c r="I42" s="256"/>
      <c r="J42" s="250"/>
      <c r="K42" s="250"/>
      <c r="L42" s="250"/>
      <c r="M42" s="256"/>
      <c r="N42" s="250"/>
      <c r="O42" s="250"/>
      <c r="P42" s="250"/>
      <c r="Q42" s="250"/>
      <c r="R42" s="250"/>
      <c r="S42" s="250"/>
      <c r="T42" s="250"/>
      <c r="U42" s="65" t="s">
        <v>495</v>
      </c>
      <c r="V42" s="126">
        <v>25</v>
      </c>
      <c r="W42" s="126">
        <f>(H41-Y41-Y49-8)/25</f>
        <v>27.52</v>
      </c>
      <c r="X42" s="117" t="s">
        <v>2</v>
      </c>
      <c r="Y42" s="118">
        <v>32</v>
      </c>
      <c r="Z42" s="62"/>
      <c r="AA42" s="79"/>
      <c r="AB42" s="80"/>
      <c r="AC42" s="118"/>
      <c r="AD42" s="250"/>
      <c r="AE42" s="251"/>
      <c r="AF42" s="31"/>
      <c r="AG42" s="81"/>
      <c r="AH42" s="81"/>
      <c r="AI42" s="81"/>
      <c r="AJ42" s="81"/>
      <c r="AK42" s="81"/>
    </row>
    <row r="43" spans="1:37" s="19" customFormat="1" ht="21.75" customHeight="1">
      <c r="A43" s="262"/>
      <c r="B43" s="271"/>
      <c r="C43" s="258"/>
      <c r="D43" s="258"/>
      <c r="E43" s="258"/>
      <c r="F43" s="258"/>
      <c r="G43" s="258"/>
      <c r="H43" s="250"/>
      <c r="I43" s="256"/>
      <c r="J43" s="250"/>
      <c r="K43" s="250"/>
      <c r="L43" s="250"/>
      <c r="M43" s="256"/>
      <c r="N43" s="250"/>
      <c r="O43" s="250"/>
      <c r="P43" s="250"/>
      <c r="Q43" s="250"/>
      <c r="R43" s="250"/>
      <c r="S43" s="250"/>
      <c r="T43" s="250"/>
      <c r="U43" s="67" t="s">
        <v>421</v>
      </c>
      <c r="V43" s="126"/>
      <c r="W43" s="126"/>
      <c r="X43" s="117" t="s">
        <v>2</v>
      </c>
      <c r="Y43" s="118">
        <v>28</v>
      </c>
      <c r="Z43" s="62">
        <v>4500000</v>
      </c>
      <c r="AA43" s="79"/>
      <c r="AB43" s="80">
        <v>1</v>
      </c>
      <c r="AC43" s="118">
        <f>Y43*Z43*AB43</f>
        <v>126000000</v>
      </c>
      <c r="AD43" s="250"/>
      <c r="AE43" s="251"/>
      <c r="AF43" s="31"/>
      <c r="AG43" s="81"/>
      <c r="AH43" s="81"/>
      <c r="AI43" s="81"/>
      <c r="AJ43" s="81"/>
      <c r="AK43" s="81"/>
    </row>
    <row r="44" spans="1:37" s="19" customFormat="1" ht="21.75" customHeight="1">
      <c r="A44" s="262"/>
      <c r="B44" s="271"/>
      <c r="C44" s="258"/>
      <c r="D44" s="258"/>
      <c r="E44" s="258"/>
      <c r="F44" s="258"/>
      <c r="G44" s="258"/>
      <c r="H44" s="250"/>
      <c r="I44" s="256"/>
      <c r="J44" s="250"/>
      <c r="K44" s="250"/>
      <c r="L44" s="250"/>
      <c r="M44" s="256"/>
      <c r="N44" s="250"/>
      <c r="O44" s="250"/>
      <c r="P44" s="250"/>
      <c r="Q44" s="250"/>
      <c r="R44" s="250"/>
      <c r="S44" s="250"/>
      <c r="T44" s="250"/>
      <c r="U44" s="67" t="s">
        <v>423</v>
      </c>
      <c r="V44" s="126"/>
      <c r="W44" s="126">
        <f>0.3*3</f>
        <v>0.89999999999999991</v>
      </c>
      <c r="X44" s="117" t="s">
        <v>2</v>
      </c>
      <c r="Y44" s="118">
        <v>1</v>
      </c>
      <c r="Z44" s="62">
        <v>1800000</v>
      </c>
      <c r="AA44" s="79"/>
      <c r="AB44" s="80">
        <v>0.3</v>
      </c>
      <c r="AC44" s="118">
        <f t="shared" ref="AC44:AC45" si="4">Y44*Z44*AB44</f>
        <v>540000</v>
      </c>
      <c r="AD44" s="250"/>
      <c r="AE44" s="251"/>
      <c r="AF44" s="31"/>
      <c r="AG44" s="81"/>
      <c r="AH44" s="81"/>
      <c r="AI44" s="81"/>
      <c r="AJ44" s="81"/>
      <c r="AK44" s="81"/>
    </row>
    <row r="45" spans="1:37" s="19" customFormat="1" ht="21.75" customHeight="1">
      <c r="A45" s="262"/>
      <c r="B45" s="271"/>
      <c r="C45" s="258"/>
      <c r="D45" s="258"/>
      <c r="E45" s="258"/>
      <c r="F45" s="258"/>
      <c r="G45" s="258"/>
      <c r="H45" s="250"/>
      <c r="I45" s="256"/>
      <c r="J45" s="250"/>
      <c r="K45" s="250"/>
      <c r="L45" s="250"/>
      <c r="M45" s="256"/>
      <c r="N45" s="250"/>
      <c r="O45" s="250"/>
      <c r="P45" s="250"/>
      <c r="Q45" s="250"/>
      <c r="R45" s="250"/>
      <c r="S45" s="250"/>
      <c r="T45" s="250"/>
      <c r="U45" s="67" t="s">
        <v>424</v>
      </c>
      <c r="V45" s="126"/>
      <c r="W45" s="126"/>
      <c r="X45" s="117" t="s">
        <v>2</v>
      </c>
      <c r="Y45" s="118">
        <v>3</v>
      </c>
      <c r="Z45" s="62">
        <v>1800000</v>
      </c>
      <c r="AA45" s="79"/>
      <c r="AB45" s="80">
        <v>0</v>
      </c>
      <c r="AC45" s="118">
        <f t="shared" si="4"/>
        <v>0</v>
      </c>
      <c r="AD45" s="250"/>
      <c r="AE45" s="251"/>
      <c r="AF45" s="31"/>
      <c r="AG45" s="81"/>
      <c r="AH45" s="81"/>
      <c r="AI45" s="81"/>
      <c r="AJ45" s="81"/>
      <c r="AK45" s="81"/>
    </row>
    <row r="46" spans="1:37" s="19" customFormat="1" ht="57" customHeight="1">
      <c r="A46" s="262"/>
      <c r="B46" s="271"/>
      <c r="C46" s="258"/>
      <c r="D46" s="258"/>
      <c r="E46" s="258"/>
      <c r="F46" s="258"/>
      <c r="G46" s="258"/>
      <c r="H46" s="250"/>
      <c r="I46" s="256"/>
      <c r="J46" s="250"/>
      <c r="K46" s="250"/>
      <c r="L46" s="250"/>
      <c r="M46" s="256"/>
      <c r="N46" s="250"/>
      <c r="O46" s="250"/>
      <c r="P46" s="250"/>
      <c r="Q46" s="250"/>
      <c r="R46" s="250"/>
      <c r="S46" s="250"/>
      <c r="T46" s="250"/>
      <c r="U46" s="124" t="s">
        <v>496</v>
      </c>
      <c r="V46" s="110">
        <v>10</v>
      </c>
      <c r="W46" s="126">
        <f>(H41-Y41-Y49-8)/10</f>
        <v>68.8</v>
      </c>
      <c r="X46" s="117" t="s">
        <v>2</v>
      </c>
      <c r="Y46" s="114">
        <v>150</v>
      </c>
      <c r="Z46" s="62"/>
      <c r="AA46" s="79"/>
      <c r="AB46" s="80"/>
      <c r="AC46" s="118"/>
      <c r="AD46" s="250"/>
      <c r="AE46" s="251"/>
      <c r="AF46" s="31"/>
      <c r="AG46" s="81"/>
      <c r="AH46" s="81"/>
      <c r="AI46" s="81"/>
      <c r="AJ46" s="81"/>
      <c r="AK46" s="81"/>
    </row>
    <row r="47" spans="1:37" s="19" customFormat="1" ht="36" customHeight="1">
      <c r="A47" s="262"/>
      <c r="B47" s="271"/>
      <c r="C47" s="258"/>
      <c r="D47" s="258"/>
      <c r="E47" s="258"/>
      <c r="F47" s="258"/>
      <c r="G47" s="258"/>
      <c r="H47" s="250"/>
      <c r="I47" s="256"/>
      <c r="J47" s="250"/>
      <c r="K47" s="250"/>
      <c r="L47" s="250"/>
      <c r="M47" s="256"/>
      <c r="N47" s="250"/>
      <c r="O47" s="250"/>
      <c r="P47" s="250"/>
      <c r="Q47" s="250"/>
      <c r="R47" s="250"/>
      <c r="S47" s="250"/>
      <c r="T47" s="250"/>
      <c r="U47" s="67" t="s">
        <v>497</v>
      </c>
      <c r="V47" s="126"/>
      <c r="W47" s="126">
        <f>0.3*W46</f>
        <v>20.639999999999997</v>
      </c>
      <c r="X47" s="117" t="s">
        <v>2</v>
      </c>
      <c r="Y47" s="83">
        <v>21</v>
      </c>
      <c r="Z47" s="62">
        <v>240000</v>
      </c>
      <c r="AA47" s="79"/>
      <c r="AB47" s="80">
        <v>0.3</v>
      </c>
      <c r="AC47" s="118">
        <f t="shared" ref="AC47" si="5">Y47*Z47*AB47</f>
        <v>1512000</v>
      </c>
      <c r="AD47" s="250"/>
      <c r="AE47" s="251"/>
      <c r="AF47" s="31"/>
      <c r="AG47" s="81"/>
      <c r="AH47" s="81"/>
      <c r="AI47" s="81"/>
      <c r="AJ47" s="81"/>
      <c r="AK47" s="81"/>
    </row>
    <row r="48" spans="1:37" s="19" customFormat="1" ht="27.75" customHeight="1">
      <c r="A48" s="262"/>
      <c r="B48" s="271"/>
      <c r="C48" s="258"/>
      <c r="D48" s="258"/>
      <c r="E48" s="258"/>
      <c r="F48" s="258"/>
      <c r="G48" s="258"/>
      <c r="H48" s="250"/>
      <c r="I48" s="256"/>
      <c r="J48" s="250"/>
      <c r="K48" s="250"/>
      <c r="L48" s="250"/>
      <c r="M48" s="256"/>
      <c r="N48" s="250"/>
      <c r="O48" s="250"/>
      <c r="P48" s="250"/>
      <c r="Q48" s="250"/>
      <c r="R48" s="250"/>
      <c r="S48" s="250"/>
      <c r="T48" s="250"/>
      <c r="U48" s="67" t="s">
        <v>486</v>
      </c>
      <c r="V48" s="126"/>
      <c r="W48" s="126"/>
      <c r="X48" s="117" t="s">
        <v>2</v>
      </c>
      <c r="Y48" s="83">
        <v>129</v>
      </c>
      <c r="Z48" s="62">
        <v>240000</v>
      </c>
      <c r="AA48" s="79"/>
      <c r="AB48" s="80">
        <v>0</v>
      </c>
      <c r="AC48" s="118">
        <f t="shared" ref="AC48" si="6">Y48*Z48*AB48/100</f>
        <v>0</v>
      </c>
      <c r="AD48" s="250"/>
      <c r="AE48" s="251"/>
      <c r="AF48" s="31"/>
      <c r="AG48" s="81"/>
      <c r="AH48" s="81"/>
      <c r="AI48" s="81"/>
      <c r="AJ48" s="81"/>
      <c r="AK48" s="81"/>
    </row>
    <row r="49" spans="1:37" s="19" customFormat="1" ht="81" customHeight="1">
      <c r="A49" s="262"/>
      <c r="B49" s="271"/>
      <c r="C49" s="258"/>
      <c r="D49" s="258"/>
      <c r="E49" s="258"/>
      <c r="F49" s="258"/>
      <c r="G49" s="258"/>
      <c r="H49" s="250"/>
      <c r="I49" s="256"/>
      <c r="J49" s="250"/>
      <c r="K49" s="250"/>
      <c r="L49" s="250"/>
      <c r="M49" s="256"/>
      <c r="N49" s="250"/>
      <c r="O49" s="250"/>
      <c r="P49" s="250"/>
      <c r="Q49" s="250"/>
      <c r="R49" s="250"/>
      <c r="S49" s="250"/>
      <c r="T49" s="250"/>
      <c r="U49" s="124" t="s">
        <v>561</v>
      </c>
      <c r="V49" s="126"/>
      <c r="W49" s="126"/>
      <c r="X49" s="117" t="s">
        <v>0</v>
      </c>
      <c r="Y49" s="114">
        <v>24</v>
      </c>
      <c r="Z49" s="62"/>
      <c r="AA49" s="79"/>
      <c r="AB49" s="80"/>
      <c r="AC49" s="118"/>
      <c r="AD49" s="250"/>
      <c r="AE49" s="251"/>
      <c r="AF49" s="31"/>
      <c r="AG49" s="81"/>
      <c r="AH49" s="81"/>
      <c r="AI49" s="81"/>
      <c r="AJ49" s="81"/>
      <c r="AK49" s="81"/>
    </row>
    <row r="50" spans="1:37" s="19" customFormat="1" ht="41.25" customHeight="1">
      <c r="A50" s="262"/>
      <c r="B50" s="271"/>
      <c r="C50" s="258"/>
      <c r="D50" s="258"/>
      <c r="E50" s="258"/>
      <c r="F50" s="258"/>
      <c r="G50" s="258"/>
      <c r="H50" s="250"/>
      <c r="I50" s="256"/>
      <c r="J50" s="250"/>
      <c r="K50" s="250"/>
      <c r="L50" s="250"/>
      <c r="M50" s="256"/>
      <c r="N50" s="250"/>
      <c r="O50" s="250"/>
      <c r="P50" s="250"/>
      <c r="Q50" s="250"/>
      <c r="R50" s="250"/>
      <c r="S50" s="250"/>
      <c r="T50" s="250"/>
      <c r="U50" s="124" t="s">
        <v>562</v>
      </c>
      <c r="V50" s="126"/>
      <c r="W50" s="126"/>
      <c r="X50" s="117" t="s">
        <v>0</v>
      </c>
      <c r="Y50" s="114">
        <v>36</v>
      </c>
      <c r="Z50" s="62"/>
      <c r="AA50" s="79"/>
      <c r="AB50" s="80"/>
      <c r="AC50" s="118"/>
      <c r="AD50" s="250"/>
      <c r="AE50" s="251"/>
      <c r="AF50" s="31"/>
      <c r="AG50" s="81"/>
      <c r="AH50" s="81"/>
      <c r="AI50" s="81"/>
      <c r="AJ50" s="81"/>
      <c r="AK50" s="81"/>
    </row>
    <row r="51" spans="1:37" s="19" customFormat="1" ht="55.5" customHeight="1">
      <c r="A51" s="262"/>
      <c r="B51" s="271"/>
      <c r="C51" s="258"/>
      <c r="D51" s="258"/>
      <c r="E51" s="258"/>
      <c r="F51" s="258"/>
      <c r="G51" s="258"/>
      <c r="H51" s="250"/>
      <c r="I51" s="256"/>
      <c r="J51" s="250"/>
      <c r="K51" s="250"/>
      <c r="L51" s="250"/>
      <c r="M51" s="256"/>
      <c r="N51" s="250"/>
      <c r="O51" s="250"/>
      <c r="P51" s="250"/>
      <c r="Q51" s="250"/>
      <c r="R51" s="250"/>
      <c r="S51" s="250"/>
      <c r="T51" s="250"/>
      <c r="U51" s="124" t="s">
        <v>483</v>
      </c>
      <c r="V51" s="126"/>
      <c r="W51" s="126"/>
      <c r="X51" s="117" t="s">
        <v>0</v>
      </c>
      <c r="Y51" s="114">
        <v>93</v>
      </c>
      <c r="Z51" s="62"/>
      <c r="AA51" s="79"/>
      <c r="AB51" s="80"/>
      <c r="AC51" s="118"/>
      <c r="AD51" s="250"/>
      <c r="AE51" s="251"/>
      <c r="AF51" s="31"/>
      <c r="AG51" s="81"/>
      <c r="AH51" s="81"/>
      <c r="AI51" s="81"/>
      <c r="AJ51" s="81"/>
      <c r="AK51" s="81"/>
    </row>
    <row r="52" spans="1:37" s="19" customFormat="1" ht="27.75" customHeight="1">
      <c r="A52" s="262"/>
      <c r="B52" s="271"/>
      <c r="C52" s="258"/>
      <c r="D52" s="258"/>
      <c r="E52" s="258"/>
      <c r="F52" s="258"/>
      <c r="G52" s="258"/>
      <c r="H52" s="250"/>
      <c r="I52" s="256"/>
      <c r="J52" s="250"/>
      <c r="K52" s="250"/>
      <c r="L52" s="250"/>
      <c r="M52" s="256"/>
      <c r="N52" s="250"/>
      <c r="O52" s="250"/>
      <c r="P52" s="250"/>
      <c r="Q52" s="250"/>
      <c r="R52" s="250"/>
      <c r="S52" s="250"/>
      <c r="T52" s="250"/>
      <c r="U52" s="124" t="s">
        <v>563</v>
      </c>
      <c r="V52" s="126"/>
      <c r="W52" s="126"/>
      <c r="X52" s="117" t="s">
        <v>0</v>
      </c>
      <c r="Y52" s="114">
        <v>277</v>
      </c>
      <c r="Z52" s="62"/>
      <c r="AA52" s="79"/>
      <c r="AB52" s="80"/>
      <c r="AC52" s="118"/>
      <c r="AD52" s="250"/>
      <c r="AE52" s="251"/>
      <c r="AF52" s="31"/>
      <c r="AG52" s="81"/>
      <c r="AH52" s="81"/>
      <c r="AI52" s="81"/>
      <c r="AJ52" s="81"/>
      <c r="AK52" s="81"/>
    </row>
    <row r="53" spans="1:37" s="19" customFormat="1" ht="51" customHeight="1">
      <c r="A53" s="262"/>
      <c r="B53" s="271"/>
      <c r="C53" s="258"/>
      <c r="D53" s="258"/>
      <c r="E53" s="258"/>
      <c r="F53" s="258"/>
      <c r="G53" s="258"/>
      <c r="H53" s="250"/>
      <c r="I53" s="256"/>
      <c r="J53" s="250"/>
      <c r="K53" s="250"/>
      <c r="L53" s="250"/>
      <c r="M53" s="256"/>
      <c r="N53" s="250"/>
      <c r="O53" s="250"/>
      <c r="P53" s="250"/>
      <c r="Q53" s="250"/>
      <c r="R53" s="250"/>
      <c r="S53" s="250"/>
      <c r="T53" s="250"/>
      <c r="U53" s="124" t="s">
        <v>564</v>
      </c>
      <c r="V53" s="126"/>
      <c r="W53" s="126"/>
      <c r="X53" s="117" t="s">
        <v>400</v>
      </c>
      <c r="Y53" s="114">
        <v>7</v>
      </c>
      <c r="Z53" s="62"/>
      <c r="AA53" s="79"/>
      <c r="AB53" s="80"/>
      <c r="AC53" s="118"/>
      <c r="AD53" s="250"/>
      <c r="AE53" s="251"/>
      <c r="AF53" s="31"/>
      <c r="AG53" s="81"/>
      <c r="AH53" s="81"/>
      <c r="AI53" s="81"/>
      <c r="AJ53" s="81"/>
      <c r="AK53" s="81"/>
    </row>
    <row r="54" spans="1:37" s="19" customFormat="1" ht="60.75" customHeight="1">
      <c r="A54" s="262"/>
      <c r="B54" s="271"/>
      <c r="C54" s="258"/>
      <c r="D54" s="258"/>
      <c r="E54" s="258"/>
      <c r="F54" s="258"/>
      <c r="G54" s="258"/>
      <c r="H54" s="250"/>
      <c r="I54" s="256"/>
      <c r="J54" s="250"/>
      <c r="K54" s="250"/>
      <c r="L54" s="250"/>
      <c r="M54" s="256"/>
      <c r="N54" s="250"/>
      <c r="O54" s="250"/>
      <c r="P54" s="250"/>
      <c r="Q54" s="250"/>
      <c r="R54" s="250"/>
      <c r="S54" s="250"/>
      <c r="T54" s="250"/>
      <c r="U54" s="124" t="s">
        <v>565</v>
      </c>
      <c r="V54" s="126"/>
      <c r="W54" s="126"/>
      <c r="X54" s="117" t="s">
        <v>630</v>
      </c>
      <c r="Y54" s="114">
        <v>12</v>
      </c>
      <c r="Z54" s="62"/>
      <c r="AA54" s="79"/>
      <c r="AB54" s="80"/>
      <c r="AC54" s="118"/>
      <c r="AD54" s="250"/>
      <c r="AE54" s="251"/>
      <c r="AF54" s="31"/>
      <c r="AG54" s="81"/>
      <c r="AH54" s="81"/>
      <c r="AI54" s="81"/>
      <c r="AJ54" s="81"/>
      <c r="AK54" s="81"/>
    </row>
    <row r="55" spans="1:37" s="19" customFormat="1" ht="27.75" customHeight="1">
      <c r="A55" s="262"/>
      <c r="B55" s="271"/>
      <c r="C55" s="258"/>
      <c r="D55" s="258"/>
      <c r="E55" s="258"/>
      <c r="F55" s="258"/>
      <c r="G55" s="258"/>
      <c r="H55" s="250"/>
      <c r="I55" s="256"/>
      <c r="J55" s="250"/>
      <c r="K55" s="250"/>
      <c r="L55" s="250"/>
      <c r="M55" s="256"/>
      <c r="N55" s="250"/>
      <c r="O55" s="250"/>
      <c r="P55" s="250"/>
      <c r="Q55" s="250"/>
      <c r="R55" s="250"/>
      <c r="S55" s="250"/>
      <c r="T55" s="250"/>
      <c r="U55" s="124" t="s">
        <v>436</v>
      </c>
      <c r="V55" s="126"/>
      <c r="W55" s="126"/>
      <c r="X55" s="117" t="s">
        <v>3</v>
      </c>
      <c r="Y55" s="114">
        <v>2</v>
      </c>
      <c r="Z55" s="62"/>
      <c r="AA55" s="79"/>
      <c r="AB55" s="80"/>
      <c r="AC55" s="118"/>
      <c r="AD55" s="250"/>
      <c r="AE55" s="251"/>
      <c r="AF55" s="31"/>
      <c r="AG55" s="81"/>
      <c r="AH55" s="81"/>
      <c r="AI55" s="81"/>
      <c r="AJ55" s="81"/>
      <c r="AK55" s="81"/>
    </row>
    <row r="56" spans="1:37" s="19" customFormat="1" ht="39.75" customHeight="1">
      <c r="A56" s="262"/>
      <c r="B56" s="271"/>
      <c r="C56" s="258"/>
      <c r="D56" s="258"/>
      <c r="E56" s="258"/>
      <c r="F56" s="258"/>
      <c r="G56" s="258"/>
      <c r="H56" s="250"/>
      <c r="I56" s="256"/>
      <c r="J56" s="250"/>
      <c r="K56" s="250"/>
      <c r="L56" s="250"/>
      <c r="M56" s="256"/>
      <c r="N56" s="250"/>
      <c r="O56" s="250"/>
      <c r="P56" s="250"/>
      <c r="Q56" s="250"/>
      <c r="R56" s="250"/>
      <c r="S56" s="250"/>
      <c r="T56" s="250"/>
      <c r="U56" s="124" t="s">
        <v>566</v>
      </c>
      <c r="V56" s="126"/>
      <c r="W56" s="126"/>
      <c r="X56" s="117" t="s">
        <v>630</v>
      </c>
      <c r="Y56" s="114">
        <v>2.5</v>
      </c>
      <c r="Z56" s="62"/>
      <c r="AA56" s="79"/>
      <c r="AB56" s="80"/>
      <c r="AC56" s="118"/>
      <c r="AD56" s="250"/>
      <c r="AE56" s="251"/>
      <c r="AF56" s="31"/>
      <c r="AG56" s="81"/>
      <c r="AH56" s="81"/>
      <c r="AI56" s="81"/>
      <c r="AJ56" s="81"/>
      <c r="AK56" s="81"/>
    </row>
    <row r="57" spans="1:37" s="19" customFormat="1" ht="50.25" customHeight="1">
      <c r="A57" s="262"/>
      <c r="B57" s="271"/>
      <c r="C57" s="258"/>
      <c r="D57" s="258"/>
      <c r="E57" s="258"/>
      <c r="F57" s="258"/>
      <c r="G57" s="258"/>
      <c r="H57" s="250"/>
      <c r="I57" s="256"/>
      <c r="J57" s="250"/>
      <c r="K57" s="250"/>
      <c r="L57" s="250"/>
      <c r="M57" s="256"/>
      <c r="N57" s="250"/>
      <c r="O57" s="250"/>
      <c r="P57" s="250"/>
      <c r="Q57" s="250"/>
      <c r="R57" s="250"/>
      <c r="S57" s="250"/>
      <c r="T57" s="250"/>
      <c r="U57" s="124" t="s">
        <v>567</v>
      </c>
      <c r="V57" s="126"/>
      <c r="W57" s="126"/>
      <c r="X57" s="117" t="s">
        <v>0</v>
      </c>
      <c r="Y57" s="114">
        <v>12</v>
      </c>
      <c r="Z57" s="123"/>
      <c r="AA57" s="79"/>
      <c r="AB57" s="80"/>
      <c r="AC57" s="118">
        <f t="shared" ref="AC57:AC58" si="7">Y57*Z57*AB57</f>
        <v>0</v>
      </c>
      <c r="AD57" s="250"/>
      <c r="AE57" s="251"/>
      <c r="AF57" s="31"/>
      <c r="AG57" s="81"/>
      <c r="AH57" s="81"/>
      <c r="AI57" s="81"/>
      <c r="AJ57" s="81"/>
      <c r="AK57" s="81"/>
    </row>
    <row r="58" spans="1:37" s="19" customFormat="1" ht="27" customHeight="1">
      <c r="A58" s="262"/>
      <c r="B58" s="271"/>
      <c r="C58" s="119"/>
      <c r="D58" s="119">
        <v>64</v>
      </c>
      <c r="E58" s="119">
        <v>415</v>
      </c>
      <c r="F58" s="119">
        <v>393.6</v>
      </c>
      <c r="G58" s="119" t="s">
        <v>28</v>
      </c>
      <c r="H58" s="123">
        <v>396</v>
      </c>
      <c r="I58" s="127">
        <f>F58-H58</f>
        <v>-2.3999999999999773</v>
      </c>
      <c r="J58" s="250"/>
      <c r="K58" s="250"/>
      <c r="L58" s="250"/>
      <c r="M58" s="256"/>
      <c r="N58" s="250"/>
      <c r="O58" s="250"/>
      <c r="P58" s="250"/>
      <c r="Q58" s="250"/>
      <c r="R58" s="250"/>
      <c r="S58" s="250"/>
      <c r="T58" s="250"/>
      <c r="U58" s="82" t="s">
        <v>446</v>
      </c>
      <c r="V58" s="126"/>
      <c r="W58" s="126"/>
      <c r="X58" s="117" t="s">
        <v>0</v>
      </c>
      <c r="Y58" s="83">
        <v>393</v>
      </c>
      <c r="Z58" s="62">
        <v>180000</v>
      </c>
      <c r="AA58" s="84"/>
      <c r="AB58" s="68">
        <v>1</v>
      </c>
      <c r="AC58" s="118">
        <f t="shared" si="7"/>
        <v>70740000</v>
      </c>
      <c r="AD58" s="118">
        <f>SUM(AC58:AC58)</f>
        <v>70740000</v>
      </c>
      <c r="AE58" s="251"/>
      <c r="AF58" s="31"/>
      <c r="AG58" s="81"/>
      <c r="AH58" s="81"/>
      <c r="AI58" s="81"/>
      <c r="AJ58" s="81"/>
      <c r="AK58" s="81"/>
    </row>
    <row r="59" spans="1:37" s="19" customFormat="1" ht="21.75" customHeight="1">
      <c r="A59" s="262">
        <v>9</v>
      </c>
      <c r="B59" s="263" t="s">
        <v>502</v>
      </c>
      <c r="C59" s="119"/>
      <c r="D59" s="258">
        <v>64</v>
      </c>
      <c r="E59" s="258">
        <v>428</v>
      </c>
      <c r="F59" s="258">
        <v>211.8</v>
      </c>
      <c r="G59" s="258" t="s">
        <v>28</v>
      </c>
      <c r="H59" s="250">
        <v>216</v>
      </c>
      <c r="I59" s="256">
        <f>F59-H59</f>
        <v>-4.1999999999999886</v>
      </c>
      <c r="J59" s="264">
        <v>216</v>
      </c>
      <c r="K59" s="264">
        <v>720</v>
      </c>
      <c r="L59" s="119"/>
      <c r="M59" s="277">
        <f>J59/K59*100</f>
        <v>30</v>
      </c>
      <c r="N59" s="264">
        <v>6</v>
      </c>
      <c r="O59" s="264">
        <v>4</v>
      </c>
      <c r="P59" s="264">
        <v>80000</v>
      </c>
      <c r="Q59" s="264">
        <f>P59*J59</f>
        <v>17280000</v>
      </c>
      <c r="R59" s="264">
        <f>Q59*3</f>
        <v>51840000</v>
      </c>
      <c r="S59" s="264">
        <f>N59*O59*17000*30</f>
        <v>12240000</v>
      </c>
      <c r="T59" s="264">
        <f>SUM(Q59:S63)</f>
        <v>81360000</v>
      </c>
      <c r="U59" s="82" t="s">
        <v>446</v>
      </c>
      <c r="V59" s="126"/>
      <c r="W59" s="126"/>
      <c r="X59" s="117" t="s">
        <v>0</v>
      </c>
      <c r="Y59" s="83">
        <v>200</v>
      </c>
      <c r="Z59" s="62">
        <v>180000</v>
      </c>
      <c r="AA59" s="84"/>
      <c r="AB59" s="68">
        <v>1</v>
      </c>
      <c r="AC59" s="118">
        <f>Y59*Z59*AB59</f>
        <v>36000000</v>
      </c>
      <c r="AD59" s="250">
        <f>SUM(AC59:AC63)</f>
        <v>37000000</v>
      </c>
      <c r="AE59" s="251">
        <f>T59+AD59</f>
        <v>118360000</v>
      </c>
      <c r="AF59" s="31"/>
      <c r="AG59" s="81"/>
      <c r="AH59" s="81"/>
      <c r="AI59" s="81"/>
      <c r="AJ59" s="81"/>
      <c r="AK59" s="81"/>
    </row>
    <row r="60" spans="1:37" s="19" customFormat="1" ht="37.5" customHeight="1">
      <c r="A60" s="262"/>
      <c r="B60" s="263"/>
      <c r="C60" s="119"/>
      <c r="D60" s="258"/>
      <c r="E60" s="258"/>
      <c r="F60" s="258"/>
      <c r="G60" s="258"/>
      <c r="H60" s="250"/>
      <c r="I60" s="256"/>
      <c r="J60" s="264"/>
      <c r="K60" s="264"/>
      <c r="L60" s="119"/>
      <c r="M60" s="277"/>
      <c r="N60" s="264"/>
      <c r="O60" s="264"/>
      <c r="P60" s="264"/>
      <c r="Q60" s="264"/>
      <c r="R60" s="264"/>
      <c r="S60" s="264"/>
      <c r="T60" s="264"/>
      <c r="U60" s="124" t="s">
        <v>498</v>
      </c>
      <c r="V60" s="126">
        <v>25</v>
      </c>
      <c r="W60" s="126">
        <f>(H59-Y59)/25</f>
        <v>0.64</v>
      </c>
      <c r="X60" s="117" t="s">
        <v>2</v>
      </c>
      <c r="Y60" s="114">
        <v>2</v>
      </c>
      <c r="Z60" s="123"/>
      <c r="AA60" s="79"/>
      <c r="AB60" s="80"/>
      <c r="AC60" s="118"/>
      <c r="AD60" s="250"/>
      <c r="AE60" s="251"/>
      <c r="AF60" s="31"/>
      <c r="AG60" s="81"/>
      <c r="AH60" s="81"/>
      <c r="AI60" s="81"/>
      <c r="AJ60" s="81"/>
      <c r="AK60" s="81"/>
    </row>
    <row r="61" spans="1:37" s="19" customFormat="1" ht="21.75" customHeight="1">
      <c r="A61" s="262"/>
      <c r="B61" s="263"/>
      <c r="C61" s="119"/>
      <c r="D61" s="258"/>
      <c r="E61" s="258"/>
      <c r="F61" s="258"/>
      <c r="G61" s="258"/>
      <c r="H61" s="250"/>
      <c r="I61" s="256"/>
      <c r="J61" s="264"/>
      <c r="K61" s="264"/>
      <c r="L61" s="119"/>
      <c r="M61" s="277"/>
      <c r="N61" s="264"/>
      <c r="O61" s="264"/>
      <c r="P61" s="264"/>
      <c r="Q61" s="264"/>
      <c r="R61" s="264"/>
      <c r="S61" s="264"/>
      <c r="T61" s="264"/>
      <c r="U61" s="67" t="s">
        <v>421</v>
      </c>
      <c r="V61" s="126"/>
      <c r="W61" s="126"/>
      <c r="X61" s="117" t="s">
        <v>2</v>
      </c>
      <c r="Y61" s="118">
        <v>1</v>
      </c>
      <c r="Z61" s="62">
        <v>1000000</v>
      </c>
      <c r="AA61" s="86"/>
      <c r="AB61" s="68">
        <v>1</v>
      </c>
      <c r="AC61" s="118">
        <f t="shared" ref="AC61:AC62" si="8">Y61*Z61*AB61</f>
        <v>1000000</v>
      </c>
      <c r="AD61" s="250"/>
      <c r="AE61" s="251"/>
      <c r="AF61" s="31"/>
      <c r="AG61" s="81"/>
      <c r="AH61" s="81"/>
      <c r="AI61" s="81"/>
      <c r="AJ61" s="81"/>
      <c r="AK61" s="81"/>
    </row>
    <row r="62" spans="1:37" s="19" customFormat="1" ht="21.75" customHeight="1">
      <c r="A62" s="262"/>
      <c r="B62" s="263"/>
      <c r="C62" s="119"/>
      <c r="D62" s="258"/>
      <c r="E62" s="258"/>
      <c r="F62" s="258"/>
      <c r="G62" s="258"/>
      <c r="H62" s="250"/>
      <c r="I62" s="256"/>
      <c r="J62" s="264"/>
      <c r="K62" s="264"/>
      <c r="L62" s="119"/>
      <c r="M62" s="277"/>
      <c r="N62" s="264"/>
      <c r="O62" s="264"/>
      <c r="P62" s="264"/>
      <c r="Q62" s="264"/>
      <c r="R62" s="264"/>
      <c r="S62" s="264"/>
      <c r="T62" s="264"/>
      <c r="U62" s="67" t="s">
        <v>424</v>
      </c>
      <c r="V62" s="126"/>
      <c r="W62" s="126">
        <f>0.3*W60</f>
        <v>0.192</v>
      </c>
      <c r="X62" s="117" t="s">
        <v>2</v>
      </c>
      <c r="Y62" s="118">
        <v>1</v>
      </c>
      <c r="Z62" s="62">
        <v>1000000</v>
      </c>
      <c r="AA62" s="79"/>
      <c r="AB62" s="68">
        <v>0</v>
      </c>
      <c r="AC62" s="118">
        <f t="shared" si="8"/>
        <v>0</v>
      </c>
      <c r="AD62" s="250"/>
      <c r="AE62" s="251"/>
      <c r="AF62" s="31"/>
      <c r="AG62" s="81"/>
      <c r="AH62" s="81"/>
      <c r="AI62" s="81"/>
      <c r="AJ62" s="81"/>
      <c r="AK62" s="81"/>
    </row>
    <row r="63" spans="1:37" s="19" customFormat="1" ht="43.5" customHeight="1">
      <c r="A63" s="262"/>
      <c r="B63" s="263"/>
      <c r="C63" s="119"/>
      <c r="D63" s="258"/>
      <c r="E63" s="258"/>
      <c r="F63" s="258"/>
      <c r="G63" s="258"/>
      <c r="H63" s="250"/>
      <c r="I63" s="256"/>
      <c r="J63" s="264"/>
      <c r="K63" s="264"/>
      <c r="L63" s="119"/>
      <c r="M63" s="277"/>
      <c r="N63" s="264"/>
      <c r="O63" s="264"/>
      <c r="P63" s="264"/>
      <c r="Q63" s="264"/>
      <c r="R63" s="264"/>
      <c r="S63" s="264"/>
      <c r="T63" s="264"/>
      <c r="U63" s="124" t="s">
        <v>499</v>
      </c>
      <c r="V63" s="126"/>
      <c r="W63" s="126"/>
      <c r="X63" s="117" t="s">
        <v>630</v>
      </c>
      <c r="Y63" s="114">
        <v>0.2</v>
      </c>
      <c r="Z63" s="62"/>
      <c r="AA63" s="86"/>
      <c r="AB63" s="68">
        <v>0</v>
      </c>
      <c r="AC63" s="118"/>
      <c r="AD63" s="250"/>
      <c r="AE63" s="251"/>
      <c r="AF63" s="31"/>
      <c r="AG63" s="81"/>
      <c r="AH63" s="81"/>
      <c r="AI63" s="81"/>
      <c r="AJ63" s="81"/>
      <c r="AK63" s="81"/>
    </row>
    <row r="64" spans="1:37" s="27" customFormat="1" ht="39.75" customHeight="1">
      <c r="A64" s="274">
        <v>10</v>
      </c>
      <c r="B64" s="271" t="s">
        <v>409</v>
      </c>
      <c r="C64" s="271" t="s">
        <v>409</v>
      </c>
      <c r="D64" s="258">
        <v>64</v>
      </c>
      <c r="E64" s="258">
        <v>472</v>
      </c>
      <c r="F64" s="258">
        <v>941.9</v>
      </c>
      <c r="G64" s="258" t="s">
        <v>28</v>
      </c>
      <c r="H64" s="250">
        <v>936</v>
      </c>
      <c r="I64" s="256">
        <f>F64-H64</f>
        <v>5.8999999999999773</v>
      </c>
      <c r="J64" s="251">
        <v>936</v>
      </c>
      <c r="K64" s="251">
        <v>1296</v>
      </c>
      <c r="L64" s="250">
        <v>936</v>
      </c>
      <c r="M64" s="272">
        <f>J64/K64*100</f>
        <v>72.222222222222214</v>
      </c>
      <c r="N64" s="250">
        <v>12</v>
      </c>
      <c r="O64" s="250">
        <v>8</v>
      </c>
      <c r="P64" s="250">
        <v>80000</v>
      </c>
      <c r="Q64" s="250">
        <f>P64*J64</f>
        <v>74880000</v>
      </c>
      <c r="R64" s="250">
        <f>Q64*3</f>
        <v>224640000</v>
      </c>
      <c r="S64" s="250">
        <f>N64*O64*17000*30</f>
        <v>48960000</v>
      </c>
      <c r="T64" s="250">
        <f>SUM(Q64:S68)</f>
        <v>348480000</v>
      </c>
      <c r="U64" s="82" t="s">
        <v>457</v>
      </c>
      <c r="V64" s="50">
        <v>25</v>
      </c>
      <c r="W64" s="50">
        <f>J64/V64</f>
        <v>37.44</v>
      </c>
      <c r="X64" s="117" t="s">
        <v>2</v>
      </c>
      <c r="Y64" s="118">
        <v>35</v>
      </c>
      <c r="Z64" s="62"/>
      <c r="AA64" s="84"/>
      <c r="AB64" s="68"/>
      <c r="AC64" s="118">
        <f>Y64*Z64*AB64</f>
        <v>0</v>
      </c>
      <c r="AD64" s="250">
        <f>SUM(AC64:AC68)</f>
        <v>176250000</v>
      </c>
      <c r="AE64" s="251">
        <f>T64+AD64</f>
        <v>524730000</v>
      </c>
      <c r="AF64" s="87">
        <f>Y64*25</f>
        <v>875</v>
      </c>
      <c r="AG64" s="88" t="s">
        <v>395</v>
      </c>
      <c r="AH64" s="88"/>
      <c r="AI64" s="252" t="s">
        <v>657</v>
      </c>
      <c r="AJ64" s="259" t="s">
        <v>681</v>
      </c>
      <c r="AK64" s="89"/>
    </row>
    <row r="65" spans="1:37" s="27" customFormat="1" ht="23.25" customHeight="1">
      <c r="A65" s="275"/>
      <c r="B65" s="271"/>
      <c r="C65" s="271"/>
      <c r="D65" s="258"/>
      <c r="E65" s="258"/>
      <c r="F65" s="258"/>
      <c r="G65" s="258"/>
      <c r="H65" s="250"/>
      <c r="I65" s="256"/>
      <c r="J65" s="251"/>
      <c r="K65" s="251"/>
      <c r="L65" s="250"/>
      <c r="M65" s="272"/>
      <c r="N65" s="250"/>
      <c r="O65" s="250"/>
      <c r="P65" s="250"/>
      <c r="Q65" s="250"/>
      <c r="R65" s="250"/>
      <c r="S65" s="250"/>
      <c r="T65" s="250"/>
      <c r="U65" s="67" t="s">
        <v>421</v>
      </c>
      <c r="V65" s="50"/>
      <c r="W65" s="50"/>
      <c r="X65" s="117" t="s">
        <v>2</v>
      </c>
      <c r="Y65" s="118">
        <v>35</v>
      </c>
      <c r="Z65" s="62">
        <v>4500000</v>
      </c>
      <c r="AA65" s="84"/>
      <c r="AB65" s="68">
        <v>1</v>
      </c>
      <c r="AC65" s="118">
        <f>Y65*Z65*AB65</f>
        <v>157500000</v>
      </c>
      <c r="AD65" s="250"/>
      <c r="AE65" s="251"/>
      <c r="AF65" s="87"/>
      <c r="AG65" s="88"/>
      <c r="AH65" s="88"/>
      <c r="AI65" s="252"/>
      <c r="AJ65" s="260"/>
      <c r="AK65" s="89"/>
    </row>
    <row r="66" spans="1:37" s="27" customFormat="1" ht="42.75" customHeight="1">
      <c r="A66" s="275"/>
      <c r="B66" s="271"/>
      <c r="C66" s="271"/>
      <c r="D66" s="258"/>
      <c r="E66" s="258"/>
      <c r="F66" s="258"/>
      <c r="G66" s="258"/>
      <c r="H66" s="250"/>
      <c r="I66" s="256"/>
      <c r="J66" s="251"/>
      <c r="K66" s="251"/>
      <c r="L66" s="250"/>
      <c r="M66" s="272"/>
      <c r="N66" s="250"/>
      <c r="O66" s="250"/>
      <c r="P66" s="250"/>
      <c r="Q66" s="250"/>
      <c r="R66" s="250"/>
      <c r="S66" s="250"/>
      <c r="T66" s="250"/>
      <c r="U66" s="82" t="s">
        <v>460</v>
      </c>
      <c r="V66" s="50">
        <v>20</v>
      </c>
      <c r="W66" s="50">
        <f>J64/V66</f>
        <v>46.8</v>
      </c>
      <c r="X66" s="117" t="s">
        <v>2</v>
      </c>
      <c r="Y66" s="118">
        <v>15</v>
      </c>
      <c r="Z66" s="62"/>
      <c r="AA66" s="84"/>
      <c r="AB66" s="68"/>
      <c r="AC66" s="118">
        <f>Y66*Z66*AB66</f>
        <v>0</v>
      </c>
      <c r="AD66" s="250"/>
      <c r="AE66" s="251"/>
      <c r="AF66" s="87"/>
      <c r="AG66" s="88"/>
      <c r="AH66" s="88"/>
      <c r="AI66" s="252"/>
      <c r="AJ66" s="260"/>
      <c r="AK66" s="89"/>
    </row>
    <row r="67" spans="1:37" s="27" customFormat="1" ht="27.75" customHeight="1">
      <c r="A67" s="275"/>
      <c r="B67" s="271"/>
      <c r="C67" s="271"/>
      <c r="D67" s="258"/>
      <c r="E67" s="258"/>
      <c r="F67" s="258"/>
      <c r="G67" s="258"/>
      <c r="H67" s="250"/>
      <c r="I67" s="256"/>
      <c r="J67" s="251"/>
      <c r="K67" s="251"/>
      <c r="L67" s="250"/>
      <c r="M67" s="272"/>
      <c r="N67" s="250"/>
      <c r="O67" s="250"/>
      <c r="P67" s="250"/>
      <c r="Q67" s="250"/>
      <c r="R67" s="250"/>
      <c r="S67" s="250"/>
      <c r="T67" s="250"/>
      <c r="U67" s="67" t="s">
        <v>421</v>
      </c>
      <c r="V67" s="50"/>
      <c r="W67" s="50"/>
      <c r="X67" s="117" t="s">
        <v>2</v>
      </c>
      <c r="Y67" s="118">
        <v>15</v>
      </c>
      <c r="Z67" s="62">
        <v>2500000</v>
      </c>
      <c r="AA67" s="84"/>
      <c r="AB67" s="68">
        <v>0.5</v>
      </c>
      <c r="AC67" s="118">
        <f>Y67*Z67*AB67</f>
        <v>18750000</v>
      </c>
      <c r="AD67" s="250"/>
      <c r="AE67" s="251"/>
      <c r="AF67" s="87"/>
      <c r="AG67" s="88"/>
      <c r="AH67" s="88"/>
      <c r="AI67" s="252"/>
      <c r="AJ67" s="260"/>
      <c r="AK67" s="89"/>
    </row>
    <row r="68" spans="1:37" s="27" customFormat="1" ht="27.75" customHeight="1">
      <c r="A68" s="276"/>
      <c r="B68" s="271"/>
      <c r="C68" s="271"/>
      <c r="D68" s="258"/>
      <c r="E68" s="258"/>
      <c r="F68" s="258"/>
      <c r="G68" s="258"/>
      <c r="H68" s="250"/>
      <c r="I68" s="256"/>
      <c r="J68" s="251"/>
      <c r="K68" s="251"/>
      <c r="L68" s="250"/>
      <c r="M68" s="272"/>
      <c r="N68" s="250"/>
      <c r="O68" s="250"/>
      <c r="P68" s="250"/>
      <c r="Q68" s="250"/>
      <c r="R68" s="250"/>
      <c r="S68" s="250"/>
      <c r="T68" s="250"/>
      <c r="U68" s="124" t="s">
        <v>419</v>
      </c>
      <c r="V68" s="117"/>
      <c r="W68" s="117"/>
      <c r="X68" s="117" t="s">
        <v>399</v>
      </c>
      <c r="Y68" s="118">
        <v>1</v>
      </c>
      <c r="Z68" s="62"/>
      <c r="AA68" s="84"/>
      <c r="AB68" s="117">
        <v>0</v>
      </c>
      <c r="AC68" s="118">
        <f t="shared" ref="AC68" si="9">Y68*Z68*AB68/100</f>
        <v>0</v>
      </c>
      <c r="AD68" s="250"/>
      <c r="AE68" s="251"/>
      <c r="AF68" s="87"/>
      <c r="AG68" s="88"/>
      <c r="AH68" s="88"/>
      <c r="AI68" s="252"/>
      <c r="AJ68" s="261"/>
      <c r="AK68" s="89"/>
    </row>
    <row r="69" spans="1:37" s="27" customFormat="1" ht="42.75" customHeight="1">
      <c r="A69" s="262">
        <v>11</v>
      </c>
      <c r="B69" s="271" t="s">
        <v>412</v>
      </c>
      <c r="C69" s="271" t="s">
        <v>412</v>
      </c>
      <c r="D69" s="258">
        <v>3</v>
      </c>
      <c r="E69" s="258">
        <v>443</v>
      </c>
      <c r="F69" s="258">
        <v>465.5</v>
      </c>
      <c r="G69" s="258" t="s">
        <v>28</v>
      </c>
      <c r="H69" s="250">
        <v>450</v>
      </c>
      <c r="I69" s="256">
        <f>F69-H69</f>
        <v>15.5</v>
      </c>
      <c r="J69" s="251">
        <v>450</v>
      </c>
      <c r="K69" s="251">
        <v>2520</v>
      </c>
      <c r="L69" s="250">
        <v>450</v>
      </c>
      <c r="M69" s="272">
        <f>J69/K69*100</f>
        <v>17.857142857142858</v>
      </c>
      <c r="N69" s="250">
        <v>3</v>
      </c>
      <c r="O69" s="250">
        <v>5</v>
      </c>
      <c r="P69" s="250">
        <v>80000</v>
      </c>
      <c r="Q69" s="250">
        <f>P69*J69</f>
        <v>36000000</v>
      </c>
      <c r="R69" s="250">
        <f>Q69*3</f>
        <v>108000000</v>
      </c>
      <c r="S69" s="250">
        <f>N69*O69*17000*30</f>
        <v>7650000</v>
      </c>
      <c r="T69" s="250">
        <f>SUM(Q69:S75)</f>
        <v>151650000</v>
      </c>
      <c r="U69" s="124" t="s">
        <v>622</v>
      </c>
      <c r="V69" s="117">
        <v>25</v>
      </c>
      <c r="W69" s="117">
        <f>J69/V69</f>
        <v>18</v>
      </c>
      <c r="X69" s="117" t="s">
        <v>2</v>
      </c>
      <c r="Y69" s="118">
        <v>7</v>
      </c>
      <c r="Z69" s="62"/>
      <c r="AA69" s="84"/>
      <c r="AB69" s="68"/>
      <c r="AC69" s="118">
        <f>Y69*Z69*AB69</f>
        <v>0</v>
      </c>
      <c r="AD69" s="250">
        <f>SUM(AC69:AC75)</f>
        <v>79625000</v>
      </c>
      <c r="AE69" s="251">
        <f>T69+AD69</f>
        <v>231275000</v>
      </c>
      <c r="AF69" s="90">
        <f>Y69*25</f>
        <v>175</v>
      </c>
      <c r="AG69" s="88" t="s">
        <v>658</v>
      </c>
      <c r="AH69" s="88"/>
      <c r="AI69" s="252" t="s">
        <v>659</v>
      </c>
      <c r="AJ69" s="259" t="s">
        <v>681</v>
      </c>
      <c r="AK69" s="89"/>
    </row>
    <row r="70" spans="1:37" s="27" customFormat="1" ht="23.25" customHeight="1">
      <c r="A70" s="262"/>
      <c r="B70" s="271"/>
      <c r="C70" s="271"/>
      <c r="D70" s="258"/>
      <c r="E70" s="258"/>
      <c r="F70" s="258"/>
      <c r="G70" s="258"/>
      <c r="H70" s="250"/>
      <c r="I70" s="256"/>
      <c r="J70" s="251"/>
      <c r="K70" s="251"/>
      <c r="L70" s="250"/>
      <c r="M70" s="272"/>
      <c r="N70" s="250"/>
      <c r="O70" s="250"/>
      <c r="P70" s="250"/>
      <c r="Q70" s="250"/>
      <c r="R70" s="250"/>
      <c r="S70" s="250"/>
      <c r="T70" s="250"/>
      <c r="U70" s="67" t="s">
        <v>421</v>
      </c>
      <c r="V70" s="117"/>
      <c r="W70" s="117"/>
      <c r="X70" s="117" t="s">
        <v>2</v>
      </c>
      <c r="Y70" s="118">
        <v>7</v>
      </c>
      <c r="Z70" s="62">
        <v>4500000</v>
      </c>
      <c r="AA70" s="84"/>
      <c r="AB70" s="68">
        <v>1</v>
      </c>
      <c r="AC70" s="118">
        <f>Y70*Z70*AB70</f>
        <v>31500000</v>
      </c>
      <c r="AD70" s="250"/>
      <c r="AE70" s="251"/>
      <c r="AF70" s="90"/>
      <c r="AG70" s="88"/>
      <c r="AH70" s="88"/>
      <c r="AI70" s="252"/>
      <c r="AJ70" s="260"/>
      <c r="AK70" s="89"/>
    </row>
    <row r="71" spans="1:37" s="27" customFormat="1" ht="51" customHeight="1">
      <c r="A71" s="262"/>
      <c r="B71" s="271"/>
      <c r="C71" s="271"/>
      <c r="D71" s="258"/>
      <c r="E71" s="258"/>
      <c r="F71" s="258"/>
      <c r="G71" s="258"/>
      <c r="H71" s="250"/>
      <c r="I71" s="256"/>
      <c r="J71" s="251"/>
      <c r="K71" s="251"/>
      <c r="L71" s="250"/>
      <c r="M71" s="272"/>
      <c r="N71" s="250"/>
      <c r="O71" s="250"/>
      <c r="P71" s="250"/>
      <c r="Q71" s="250"/>
      <c r="R71" s="250"/>
      <c r="S71" s="250"/>
      <c r="T71" s="250"/>
      <c r="U71" s="82" t="s">
        <v>660</v>
      </c>
      <c r="V71" s="50"/>
      <c r="W71" s="50"/>
      <c r="X71" s="117" t="s">
        <v>2</v>
      </c>
      <c r="Y71" s="118">
        <v>14</v>
      </c>
      <c r="Z71" s="62"/>
      <c r="AA71" s="84"/>
      <c r="AB71" s="68"/>
      <c r="AC71" s="118">
        <f>Y71*Z71*AB71</f>
        <v>0</v>
      </c>
      <c r="AD71" s="250"/>
      <c r="AE71" s="251"/>
      <c r="AF71" s="90">
        <f>Y71*25</f>
        <v>350</v>
      </c>
      <c r="AG71" s="88"/>
      <c r="AH71" s="88"/>
      <c r="AI71" s="252"/>
      <c r="AJ71" s="260"/>
      <c r="AK71" s="89"/>
    </row>
    <row r="72" spans="1:37" s="27" customFormat="1" ht="23.25" customHeight="1">
      <c r="A72" s="262"/>
      <c r="B72" s="271"/>
      <c r="C72" s="271"/>
      <c r="D72" s="258"/>
      <c r="E72" s="258"/>
      <c r="F72" s="258"/>
      <c r="G72" s="258"/>
      <c r="H72" s="250"/>
      <c r="I72" s="256"/>
      <c r="J72" s="251"/>
      <c r="K72" s="251"/>
      <c r="L72" s="250"/>
      <c r="M72" s="272"/>
      <c r="N72" s="250"/>
      <c r="O72" s="250"/>
      <c r="P72" s="250"/>
      <c r="Q72" s="250"/>
      <c r="R72" s="250"/>
      <c r="S72" s="250"/>
      <c r="T72" s="250"/>
      <c r="U72" s="67" t="s">
        <v>421</v>
      </c>
      <c r="V72" s="50"/>
      <c r="W72" s="50"/>
      <c r="X72" s="117" t="s">
        <v>2</v>
      </c>
      <c r="Y72" s="118">
        <f>18-Y70</f>
        <v>11</v>
      </c>
      <c r="Z72" s="62">
        <v>3850000</v>
      </c>
      <c r="AA72" s="84"/>
      <c r="AB72" s="68">
        <v>1</v>
      </c>
      <c r="AC72" s="118">
        <f>Y72*Z72*AB72</f>
        <v>42350000</v>
      </c>
      <c r="AD72" s="250"/>
      <c r="AE72" s="251"/>
      <c r="AF72" s="90"/>
      <c r="AG72" s="88"/>
      <c r="AH72" s="88"/>
      <c r="AI72" s="252"/>
      <c r="AJ72" s="260"/>
      <c r="AK72" s="89"/>
    </row>
    <row r="73" spans="1:37" s="27" customFormat="1" ht="23.25" customHeight="1">
      <c r="A73" s="262"/>
      <c r="B73" s="271"/>
      <c r="C73" s="271"/>
      <c r="D73" s="258"/>
      <c r="E73" s="258"/>
      <c r="F73" s="258"/>
      <c r="G73" s="258"/>
      <c r="H73" s="250"/>
      <c r="I73" s="256"/>
      <c r="J73" s="251"/>
      <c r="K73" s="251"/>
      <c r="L73" s="250"/>
      <c r="M73" s="272"/>
      <c r="N73" s="250"/>
      <c r="O73" s="250"/>
      <c r="P73" s="250"/>
      <c r="Q73" s="250"/>
      <c r="R73" s="250"/>
      <c r="S73" s="250"/>
      <c r="T73" s="250"/>
      <c r="U73" s="67" t="s">
        <v>423</v>
      </c>
      <c r="V73" s="50"/>
      <c r="W73" s="50"/>
      <c r="X73" s="117" t="s">
        <v>2</v>
      </c>
      <c r="Y73" s="118">
        <v>3</v>
      </c>
      <c r="Z73" s="62">
        <v>3850000</v>
      </c>
      <c r="AA73" s="84"/>
      <c r="AB73" s="68">
        <v>0.5</v>
      </c>
      <c r="AC73" s="118">
        <f>Y73*Z73*AB73</f>
        <v>5775000</v>
      </c>
      <c r="AD73" s="250"/>
      <c r="AE73" s="251"/>
      <c r="AF73" s="90"/>
      <c r="AG73" s="88"/>
      <c r="AH73" s="88"/>
      <c r="AI73" s="252"/>
      <c r="AJ73" s="260"/>
      <c r="AK73" s="89"/>
    </row>
    <row r="74" spans="1:37" s="27" customFormat="1" ht="42" customHeight="1">
      <c r="A74" s="262"/>
      <c r="B74" s="271"/>
      <c r="C74" s="271"/>
      <c r="D74" s="258"/>
      <c r="E74" s="258"/>
      <c r="F74" s="258"/>
      <c r="G74" s="258"/>
      <c r="H74" s="250"/>
      <c r="I74" s="256"/>
      <c r="J74" s="251"/>
      <c r="K74" s="251"/>
      <c r="L74" s="250"/>
      <c r="M74" s="272"/>
      <c r="N74" s="250"/>
      <c r="O74" s="250"/>
      <c r="P74" s="250"/>
      <c r="Q74" s="250"/>
      <c r="R74" s="250"/>
      <c r="S74" s="250"/>
      <c r="T74" s="250"/>
      <c r="U74" s="124" t="s">
        <v>661</v>
      </c>
      <c r="V74" s="117"/>
      <c r="W74" s="117"/>
      <c r="X74" s="117" t="s">
        <v>6</v>
      </c>
      <c r="Y74" s="114">
        <v>6</v>
      </c>
      <c r="Z74" s="100"/>
      <c r="AA74" s="84"/>
      <c r="AB74" s="117">
        <v>0</v>
      </c>
      <c r="AC74" s="118">
        <f t="shared" ref="AC74:AC75" si="10">Y74*Z74*AB74/100</f>
        <v>0</v>
      </c>
      <c r="AD74" s="250"/>
      <c r="AE74" s="251"/>
      <c r="AF74" s="90"/>
      <c r="AG74" s="88"/>
      <c r="AH74" s="88"/>
      <c r="AI74" s="252"/>
      <c r="AJ74" s="260"/>
      <c r="AK74" s="89"/>
    </row>
    <row r="75" spans="1:37" s="27" customFormat="1" ht="57.75" customHeight="1">
      <c r="A75" s="262"/>
      <c r="B75" s="271"/>
      <c r="C75" s="271"/>
      <c r="D75" s="258"/>
      <c r="E75" s="258"/>
      <c r="F75" s="258"/>
      <c r="G75" s="258"/>
      <c r="H75" s="250"/>
      <c r="I75" s="256"/>
      <c r="J75" s="251"/>
      <c r="K75" s="251"/>
      <c r="L75" s="250"/>
      <c r="M75" s="272"/>
      <c r="N75" s="250"/>
      <c r="O75" s="250"/>
      <c r="P75" s="250"/>
      <c r="Q75" s="250"/>
      <c r="R75" s="250"/>
      <c r="S75" s="250"/>
      <c r="T75" s="250"/>
      <c r="U75" s="124" t="s">
        <v>506</v>
      </c>
      <c r="V75" s="117"/>
      <c r="W75" s="117"/>
      <c r="X75" s="117" t="s">
        <v>6</v>
      </c>
      <c r="Y75" s="114">
        <v>188</v>
      </c>
      <c r="Z75" s="100"/>
      <c r="AA75" s="84"/>
      <c r="AB75" s="117">
        <v>0</v>
      </c>
      <c r="AC75" s="118">
        <f t="shared" si="10"/>
        <v>0</v>
      </c>
      <c r="AD75" s="250"/>
      <c r="AE75" s="251"/>
      <c r="AF75" s="91"/>
      <c r="AG75" s="88"/>
      <c r="AH75" s="88"/>
      <c r="AI75" s="252"/>
      <c r="AJ75" s="261"/>
      <c r="AK75" s="89"/>
    </row>
    <row r="76" spans="1:37" s="18" customFormat="1" ht="24.75" customHeight="1">
      <c r="A76" s="131"/>
      <c r="B76" s="34" t="s">
        <v>616</v>
      </c>
      <c r="C76" s="125"/>
      <c r="D76" s="125"/>
      <c r="E76" s="125"/>
      <c r="F76" s="125"/>
      <c r="G76" s="125"/>
      <c r="H76" s="116"/>
      <c r="I76" s="115"/>
      <c r="J76" s="118"/>
      <c r="K76" s="118"/>
      <c r="L76" s="125"/>
      <c r="M76" s="93"/>
      <c r="N76" s="116"/>
      <c r="O76" s="116"/>
      <c r="P76" s="116"/>
      <c r="Q76" s="116"/>
      <c r="R76" s="116"/>
      <c r="S76" s="116"/>
      <c r="T76" s="116"/>
      <c r="U76" s="36"/>
      <c r="V76" s="33"/>
      <c r="W76" s="33"/>
      <c r="X76" s="125"/>
      <c r="Y76" s="116"/>
      <c r="Z76" s="94"/>
      <c r="AA76" s="95"/>
      <c r="AB76" s="96"/>
      <c r="AC76" s="116"/>
      <c r="AD76" s="116"/>
      <c r="AE76" s="116"/>
      <c r="AF76" s="31"/>
      <c r="AG76" s="97"/>
      <c r="AH76" s="97"/>
      <c r="AI76" s="97"/>
      <c r="AJ76" s="97"/>
      <c r="AK76" s="97"/>
    </row>
    <row r="77" spans="1:37" s="26" customFormat="1" ht="32.25" customHeight="1">
      <c r="A77" s="262">
        <v>12</v>
      </c>
      <c r="B77" s="271" t="s">
        <v>402</v>
      </c>
      <c r="C77" s="271" t="s">
        <v>412</v>
      </c>
      <c r="D77" s="258">
        <v>64</v>
      </c>
      <c r="E77" s="258">
        <v>603</v>
      </c>
      <c r="F77" s="258">
        <v>1688.8</v>
      </c>
      <c r="G77" s="258" t="s">
        <v>28</v>
      </c>
      <c r="H77" s="250">
        <v>1800</v>
      </c>
      <c r="I77" s="256">
        <f>F77-H77</f>
        <v>-111.20000000000005</v>
      </c>
      <c r="J77" s="250">
        <v>1800</v>
      </c>
      <c r="K77" s="250">
        <v>1800</v>
      </c>
      <c r="L77" s="250"/>
      <c r="M77" s="272">
        <f>J77/K77*100</f>
        <v>100</v>
      </c>
      <c r="N77" s="250">
        <v>12</v>
      </c>
      <c r="O77" s="250">
        <v>9</v>
      </c>
      <c r="P77" s="250">
        <v>80000</v>
      </c>
      <c r="Q77" s="250">
        <f>P77*J77</f>
        <v>144000000</v>
      </c>
      <c r="R77" s="250">
        <f>Q77*3</f>
        <v>432000000</v>
      </c>
      <c r="S77" s="250">
        <f>N77*O77*17000*30</f>
        <v>55080000</v>
      </c>
      <c r="T77" s="250">
        <f>SUM(Q77:S85)</f>
        <v>631080000</v>
      </c>
      <c r="U77" s="65" t="s">
        <v>641</v>
      </c>
      <c r="V77" s="126">
        <v>25</v>
      </c>
      <c r="W77" s="126">
        <f>H77/25</f>
        <v>72</v>
      </c>
      <c r="X77" s="117" t="s">
        <v>2</v>
      </c>
      <c r="Y77" s="118">
        <v>9</v>
      </c>
      <c r="Z77" s="62"/>
      <c r="AA77" s="84"/>
      <c r="AB77" s="68"/>
      <c r="AC77" s="118"/>
      <c r="AD77" s="250">
        <f>SUM(AC77:AC85)</f>
        <v>142650000</v>
      </c>
      <c r="AE77" s="251">
        <f>T77+AD77</f>
        <v>773730000</v>
      </c>
      <c r="AF77" s="31" t="s">
        <v>452</v>
      </c>
      <c r="AG77" s="98"/>
      <c r="AH77" s="99"/>
      <c r="AI77" s="99"/>
      <c r="AJ77" s="99"/>
      <c r="AK77" s="99"/>
    </row>
    <row r="78" spans="1:37" s="26" customFormat="1" ht="23.25" customHeight="1">
      <c r="A78" s="262"/>
      <c r="B78" s="271"/>
      <c r="C78" s="271"/>
      <c r="D78" s="258"/>
      <c r="E78" s="258"/>
      <c r="F78" s="258"/>
      <c r="G78" s="258"/>
      <c r="H78" s="250"/>
      <c r="I78" s="256"/>
      <c r="J78" s="250"/>
      <c r="K78" s="250"/>
      <c r="L78" s="250"/>
      <c r="M78" s="272"/>
      <c r="N78" s="250"/>
      <c r="O78" s="250"/>
      <c r="P78" s="250"/>
      <c r="Q78" s="250"/>
      <c r="R78" s="250"/>
      <c r="S78" s="250"/>
      <c r="T78" s="250"/>
      <c r="U78" s="67" t="s">
        <v>421</v>
      </c>
      <c r="V78" s="126"/>
      <c r="W78" s="126"/>
      <c r="X78" s="117" t="s">
        <v>2</v>
      </c>
      <c r="Y78" s="118">
        <v>9</v>
      </c>
      <c r="Z78" s="62">
        <v>3750000</v>
      </c>
      <c r="AA78" s="84"/>
      <c r="AB78" s="68">
        <v>1</v>
      </c>
      <c r="AC78" s="118">
        <f>Y78*Z78*AB78</f>
        <v>33750000</v>
      </c>
      <c r="AD78" s="250"/>
      <c r="AE78" s="251"/>
      <c r="AF78" s="31"/>
      <c r="AG78" s="98"/>
      <c r="AH78" s="99"/>
      <c r="AI78" s="99"/>
      <c r="AJ78" s="99"/>
      <c r="AK78" s="99"/>
    </row>
    <row r="79" spans="1:37" s="26" customFormat="1" ht="39" customHeight="1">
      <c r="A79" s="262"/>
      <c r="B79" s="271"/>
      <c r="C79" s="271"/>
      <c r="D79" s="258"/>
      <c r="E79" s="258"/>
      <c r="F79" s="258"/>
      <c r="G79" s="258"/>
      <c r="H79" s="250"/>
      <c r="I79" s="256"/>
      <c r="J79" s="250"/>
      <c r="K79" s="250"/>
      <c r="L79" s="250"/>
      <c r="M79" s="272"/>
      <c r="N79" s="250"/>
      <c r="O79" s="250"/>
      <c r="P79" s="250"/>
      <c r="Q79" s="250"/>
      <c r="R79" s="250"/>
      <c r="S79" s="250"/>
      <c r="T79" s="250"/>
      <c r="U79" s="65" t="s">
        <v>642</v>
      </c>
      <c r="V79" s="126"/>
      <c r="W79" s="126"/>
      <c r="X79" s="117" t="s">
        <v>2</v>
      </c>
      <c r="Y79" s="118">
        <v>27</v>
      </c>
      <c r="Z79" s="62"/>
      <c r="AA79" s="84"/>
      <c r="AB79" s="68"/>
      <c r="AC79" s="118"/>
      <c r="AD79" s="250"/>
      <c r="AE79" s="251"/>
      <c r="AF79" s="31"/>
      <c r="AG79" s="98"/>
      <c r="AH79" s="99"/>
      <c r="AI79" s="99"/>
      <c r="AJ79" s="99"/>
      <c r="AK79" s="99"/>
    </row>
    <row r="80" spans="1:37" s="26" customFormat="1" ht="23.25" customHeight="1">
      <c r="A80" s="262"/>
      <c r="B80" s="271"/>
      <c r="C80" s="271"/>
      <c r="D80" s="258"/>
      <c r="E80" s="258"/>
      <c r="F80" s="258"/>
      <c r="G80" s="258"/>
      <c r="H80" s="250"/>
      <c r="I80" s="256"/>
      <c r="J80" s="250"/>
      <c r="K80" s="250"/>
      <c r="L80" s="250"/>
      <c r="M80" s="272"/>
      <c r="N80" s="250"/>
      <c r="O80" s="250"/>
      <c r="P80" s="250"/>
      <c r="Q80" s="250"/>
      <c r="R80" s="250"/>
      <c r="S80" s="250"/>
      <c r="T80" s="250"/>
      <c r="U80" s="67" t="s">
        <v>421</v>
      </c>
      <c r="V80" s="126"/>
      <c r="W80" s="126"/>
      <c r="X80" s="117" t="s">
        <v>2</v>
      </c>
      <c r="Y80" s="118">
        <v>27</v>
      </c>
      <c r="Z80" s="62">
        <v>2700000</v>
      </c>
      <c r="AA80" s="84"/>
      <c r="AB80" s="68">
        <v>1</v>
      </c>
      <c r="AC80" s="118">
        <f>Y80*Z80*AB80</f>
        <v>72900000</v>
      </c>
      <c r="AD80" s="250"/>
      <c r="AE80" s="251"/>
      <c r="AF80" s="31"/>
      <c r="AG80" s="98"/>
      <c r="AH80" s="99"/>
      <c r="AI80" s="99"/>
      <c r="AJ80" s="99"/>
      <c r="AK80" s="99"/>
    </row>
    <row r="81" spans="1:37" s="26" customFormat="1" ht="36" customHeight="1">
      <c r="A81" s="262"/>
      <c r="B81" s="271"/>
      <c r="C81" s="271"/>
      <c r="D81" s="258"/>
      <c r="E81" s="258"/>
      <c r="F81" s="258"/>
      <c r="G81" s="258"/>
      <c r="H81" s="250"/>
      <c r="I81" s="256"/>
      <c r="J81" s="250"/>
      <c r="K81" s="250"/>
      <c r="L81" s="250"/>
      <c r="M81" s="272"/>
      <c r="N81" s="250"/>
      <c r="O81" s="250"/>
      <c r="P81" s="250"/>
      <c r="Q81" s="250"/>
      <c r="R81" s="250"/>
      <c r="S81" s="250"/>
      <c r="T81" s="250"/>
      <c r="U81" s="65" t="s">
        <v>480</v>
      </c>
      <c r="V81" s="126">
        <v>4</v>
      </c>
      <c r="W81" s="126">
        <f>H77/4</f>
        <v>450</v>
      </c>
      <c r="X81" s="117" t="s">
        <v>396</v>
      </c>
      <c r="Y81" s="118">
        <v>300</v>
      </c>
      <c r="Z81" s="62"/>
      <c r="AA81" s="84"/>
      <c r="AB81" s="68"/>
      <c r="AC81" s="118"/>
      <c r="AD81" s="250"/>
      <c r="AE81" s="251"/>
      <c r="AF81" s="31"/>
      <c r="AG81" s="98"/>
      <c r="AH81" s="99"/>
      <c r="AI81" s="99"/>
      <c r="AJ81" s="99"/>
      <c r="AK81" s="99"/>
    </row>
    <row r="82" spans="1:37" s="26" customFormat="1" ht="25.5" customHeight="1">
      <c r="A82" s="262"/>
      <c r="B82" s="271"/>
      <c r="C82" s="271"/>
      <c r="D82" s="258"/>
      <c r="E82" s="258"/>
      <c r="F82" s="258"/>
      <c r="G82" s="258"/>
      <c r="H82" s="250"/>
      <c r="I82" s="256"/>
      <c r="J82" s="250"/>
      <c r="K82" s="250"/>
      <c r="L82" s="250"/>
      <c r="M82" s="272"/>
      <c r="N82" s="250"/>
      <c r="O82" s="250"/>
      <c r="P82" s="250"/>
      <c r="Q82" s="250"/>
      <c r="R82" s="250"/>
      <c r="S82" s="250"/>
      <c r="T82" s="250"/>
      <c r="U82" s="67" t="s">
        <v>421</v>
      </c>
      <c r="V82" s="126"/>
      <c r="W82" s="126"/>
      <c r="X82" s="117" t="s">
        <v>2</v>
      </c>
      <c r="Y82" s="118">
        <v>300</v>
      </c>
      <c r="Z82" s="62">
        <v>200000</v>
      </c>
      <c r="AA82" s="84"/>
      <c r="AB82" s="68">
        <v>0.5</v>
      </c>
      <c r="AC82" s="118">
        <f>Y82*Z82*AB82</f>
        <v>30000000</v>
      </c>
      <c r="AD82" s="250"/>
      <c r="AE82" s="251"/>
      <c r="AF82" s="31"/>
      <c r="AG82" s="98"/>
      <c r="AH82" s="99"/>
      <c r="AI82" s="99"/>
      <c r="AJ82" s="99"/>
      <c r="AK82" s="99"/>
    </row>
    <row r="83" spans="1:37" s="26" customFormat="1" ht="36.75" customHeight="1">
      <c r="A83" s="262"/>
      <c r="B83" s="271"/>
      <c r="C83" s="271"/>
      <c r="D83" s="258"/>
      <c r="E83" s="258"/>
      <c r="F83" s="258"/>
      <c r="G83" s="258"/>
      <c r="H83" s="250"/>
      <c r="I83" s="256"/>
      <c r="J83" s="250"/>
      <c r="K83" s="250"/>
      <c r="L83" s="250"/>
      <c r="M83" s="272"/>
      <c r="N83" s="250"/>
      <c r="O83" s="250"/>
      <c r="P83" s="250"/>
      <c r="Q83" s="250"/>
      <c r="R83" s="250"/>
      <c r="S83" s="250"/>
      <c r="T83" s="250"/>
      <c r="U83" s="65" t="s">
        <v>481</v>
      </c>
      <c r="V83" s="126"/>
      <c r="W83" s="126"/>
      <c r="X83" s="117" t="s">
        <v>396</v>
      </c>
      <c r="Y83" s="118">
        <v>80</v>
      </c>
      <c r="Z83" s="62"/>
      <c r="AA83" s="84"/>
      <c r="AB83" s="68"/>
      <c r="AC83" s="118"/>
      <c r="AD83" s="250"/>
      <c r="AE83" s="251"/>
      <c r="AF83" s="31"/>
      <c r="AG83" s="98"/>
      <c r="AH83" s="99"/>
      <c r="AI83" s="99"/>
      <c r="AJ83" s="99"/>
      <c r="AK83" s="99"/>
    </row>
    <row r="84" spans="1:37" s="26" customFormat="1" ht="23.25" customHeight="1">
      <c r="A84" s="262"/>
      <c r="B84" s="271"/>
      <c r="C84" s="271"/>
      <c r="D84" s="258"/>
      <c r="E84" s="258"/>
      <c r="F84" s="258"/>
      <c r="G84" s="258"/>
      <c r="H84" s="250"/>
      <c r="I84" s="256"/>
      <c r="J84" s="250"/>
      <c r="K84" s="250"/>
      <c r="L84" s="250"/>
      <c r="M84" s="272"/>
      <c r="N84" s="250"/>
      <c r="O84" s="250"/>
      <c r="P84" s="250"/>
      <c r="Q84" s="250"/>
      <c r="R84" s="250"/>
      <c r="S84" s="250"/>
      <c r="T84" s="250"/>
      <c r="U84" s="67" t="s">
        <v>421</v>
      </c>
      <c r="V84" s="126"/>
      <c r="W84" s="126"/>
      <c r="X84" s="117" t="s">
        <v>2</v>
      </c>
      <c r="Y84" s="118">
        <v>80</v>
      </c>
      <c r="Z84" s="62">
        <v>150000</v>
      </c>
      <c r="AA84" s="84"/>
      <c r="AB84" s="68">
        <v>0.5</v>
      </c>
      <c r="AC84" s="118">
        <f>Y84*Z84*AB84</f>
        <v>6000000</v>
      </c>
      <c r="AD84" s="250"/>
      <c r="AE84" s="251"/>
      <c r="AF84" s="31"/>
      <c r="AG84" s="98"/>
      <c r="AH84" s="99"/>
      <c r="AI84" s="99"/>
      <c r="AJ84" s="99"/>
      <c r="AK84" s="99"/>
    </row>
    <row r="85" spans="1:37" s="26" customFormat="1" ht="57.75" customHeight="1">
      <c r="A85" s="262"/>
      <c r="B85" s="271"/>
      <c r="C85" s="271"/>
      <c r="D85" s="258"/>
      <c r="E85" s="258"/>
      <c r="F85" s="258"/>
      <c r="G85" s="258"/>
      <c r="H85" s="250"/>
      <c r="I85" s="256"/>
      <c r="J85" s="250"/>
      <c r="K85" s="250"/>
      <c r="L85" s="250"/>
      <c r="M85" s="272"/>
      <c r="N85" s="250"/>
      <c r="O85" s="250"/>
      <c r="P85" s="250"/>
      <c r="Q85" s="250"/>
      <c r="R85" s="250"/>
      <c r="S85" s="250"/>
      <c r="T85" s="250"/>
      <c r="U85" s="120" t="s">
        <v>470</v>
      </c>
      <c r="V85" s="126"/>
      <c r="W85" s="126"/>
      <c r="X85" s="117" t="s">
        <v>0</v>
      </c>
      <c r="Y85" s="114">
        <v>6</v>
      </c>
      <c r="Z85" s="100"/>
      <c r="AA85" s="84"/>
      <c r="AB85" s="117"/>
      <c r="AC85" s="118"/>
      <c r="AD85" s="250"/>
      <c r="AE85" s="251"/>
      <c r="AF85" s="31"/>
      <c r="AG85" s="98"/>
      <c r="AH85" s="99"/>
      <c r="AI85" s="99"/>
      <c r="AJ85" s="99"/>
      <c r="AK85" s="99"/>
    </row>
    <row r="86" spans="1:37" s="19" customFormat="1" ht="38.25" customHeight="1">
      <c r="A86" s="262">
        <v>13</v>
      </c>
      <c r="B86" s="271" t="s">
        <v>403</v>
      </c>
      <c r="C86" s="258" t="s">
        <v>39</v>
      </c>
      <c r="D86" s="258">
        <v>64</v>
      </c>
      <c r="E86" s="258">
        <v>489</v>
      </c>
      <c r="F86" s="258">
        <v>1528.1</v>
      </c>
      <c r="G86" s="258" t="s">
        <v>28</v>
      </c>
      <c r="H86" s="250">
        <v>1528</v>
      </c>
      <c r="I86" s="256">
        <f>F86-H86</f>
        <v>9.9999999999909051E-2</v>
      </c>
      <c r="J86" s="250">
        <f>H86+H97</f>
        <v>1888</v>
      </c>
      <c r="K86" s="250">
        <v>2160</v>
      </c>
      <c r="L86" s="250"/>
      <c r="M86" s="256">
        <f>J86/K86*100</f>
        <v>87.407407407407405</v>
      </c>
      <c r="N86" s="250">
        <v>12</v>
      </c>
      <c r="O86" s="250">
        <v>10</v>
      </c>
      <c r="P86" s="250">
        <v>80000</v>
      </c>
      <c r="Q86" s="250">
        <f>P86*J86</f>
        <v>151040000</v>
      </c>
      <c r="R86" s="250">
        <f>Q86*3</f>
        <v>453120000</v>
      </c>
      <c r="S86" s="250">
        <f>N86*O86*17000*30</f>
        <v>61200000</v>
      </c>
      <c r="T86" s="250">
        <f>SUM(Q86:S107)</f>
        <v>665360000</v>
      </c>
      <c r="U86" s="65" t="s">
        <v>420</v>
      </c>
      <c r="V86" s="126">
        <v>20</v>
      </c>
      <c r="W86" s="126">
        <f>H86/V86</f>
        <v>76.400000000000006</v>
      </c>
      <c r="X86" s="117" t="s">
        <v>2</v>
      </c>
      <c r="Y86" s="118">
        <v>20</v>
      </c>
      <c r="Z86" s="62"/>
      <c r="AA86" s="79"/>
      <c r="AB86" s="80"/>
      <c r="AC86" s="118"/>
      <c r="AD86" s="250">
        <f>SUM(AC86:AC96)</f>
        <v>163500000</v>
      </c>
      <c r="AE86" s="251">
        <f>T86+AD86+AD97</f>
        <v>876860000</v>
      </c>
      <c r="AF86" s="31" t="s">
        <v>428</v>
      </c>
      <c r="AG86" s="81"/>
      <c r="AH86" s="81"/>
      <c r="AI86" s="81"/>
      <c r="AJ86" s="81"/>
      <c r="AK86" s="81"/>
    </row>
    <row r="87" spans="1:37" s="19" customFormat="1" ht="22.5" customHeight="1">
      <c r="A87" s="262"/>
      <c r="B87" s="271"/>
      <c r="C87" s="258"/>
      <c r="D87" s="258"/>
      <c r="E87" s="258"/>
      <c r="F87" s="258"/>
      <c r="G87" s="258"/>
      <c r="H87" s="250"/>
      <c r="I87" s="256"/>
      <c r="J87" s="250"/>
      <c r="K87" s="250"/>
      <c r="L87" s="250"/>
      <c r="M87" s="256"/>
      <c r="N87" s="250"/>
      <c r="O87" s="250"/>
      <c r="P87" s="250"/>
      <c r="Q87" s="250"/>
      <c r="R87" s="250"/>
      <c r="S87" s="250"/>
      <c r="T87" s="250"/>
      <c r="U87" s="67" t="s">
        <v>421</v>
      </c>
      <c r="V87" s="126"/>
      <c r="W87" s="126"/>
      <c r="X87" s="117" t="s">
        <v>2</v>
      </c>
      <c r="Y87" s="118">
        <v>20</v>
      </c>
      <c r="Z87" s="62">
        <v>2500000</v>
      </c>
      <c r="AA87" s="79"/>
      <c r="AB87" s="80">
        <v>1</v>
      </c>
      <c r="AC87" s="118">
        <f t="shared" ref="AC87:AC89" si="11">Y87*Z87*AB87</f>
        <v>50000000</v>
      </c>
      <c r="AD87" s="250"/>
      <c r="AE87" s="251"/>
      <c r="AF87" s="31"/>
      <c r="AG87" s="81"/>
      <c r="AH87" s="81"/>
      <c r="AI87" s="81"/>
      <c r="AJ87" s="81"/>
      <c r="AK87" s="81"/>
    </row>
    <row r="88" spans="1:37" s="19" customFormat="1" ht="37.5" customHeight="1">
      <c r="A88" s="262"/>
      <c r="B88" s="271"/>
      <c r="C88" s="258"/>
      <c r="D88" s="258"/>
      <c r="E88" s="258"/>
      <c r="F88" s="258"/>
      <c r="G88" s="258"/>
      <c r="H88" s="250"/>
      <c r="I88" s="256"/>
      <c r="J88" s="250"/>
      <c r="K88" s="250"/>
      <c r="L88" s="250"/>
      <c r="M88" s="256"/>
      <c r="N88" s="250"/>
      <c r="O88" s="250"/>
      <c r="P88" s="250"/>
      <c r="Q88" s="250"/>
      <c r="R88" s="250"/>
      <c r="S88" s="250"/>
      <c r="T88" s="250"/>
      <c r="U88" s="65" t="s">
        <v>645</v>
      </c>
      <c r="V88" s="126"/>
      <c r="W88" s="126"/>
      <c r="X88" s="117" t="s">
        <v>2</v>
      </c>
      <c r="Y88" s="118">
        <v>55</v>
      </c>
      <c r="Z88" s="62"/>
      <c r="AA88" s="79"/>
      <c r="AB88" s="80"/>
      <c r="AC88" s="118"/>
      <c r="AD88" s="250"/>
      <c r="AE88" s="251"/>
      <c r="AF88" s="31"/>
      <c r="AG88" s="81"/>
      <c r="AH88" s="81"/>
      <c r="AI88" s="81"/>
      <c r="AJ88" s="81"/>
      <c r="AK88" s="81"/>
    </row>
    <row r="89" spans="1:37" s="19" customFormat="1" ht="22.5" customHeight="1">
      <c r="A89" s="262"/>
      <c r="B89" s="271"/>
      <c r="C89" s="258"/>
      <c r="D89" s="258"/>
      <c r="E89" s="258"/>
      <c r="F89" s="258"/>
      <c r="G89" s="258"/>
      <c r="H89" s="250"/>
      <c r="I89" s="256"/>
      <c r="J89" s="250"/>
      <c r="K89" s="250"/>
      <c r="L89" s="250"/>
      <c r="M89" s="256"/>
      <c r="N89" s="250"/>
      <c r="O89" s="250"/>
      <c r="P89" s="250"/>
      <c r="Q89" s="250"/>
      <c r="R89" s="250"/>
      <c r="S89" s="250"/>
      <c r="T89" s="250"/>
      <c r="U89" s="67" t="s">
        <v>421</v>
      </c>
      <c r="V89" s="126"/>
      <c r="W89" s="126"/>
      <c r="X89" s="117" t="s">
        <v>2</v>
      </c>
      <c r="Y89" s="118">
        <v>55</v>
      </c>
      <c r="Z89" s="62">
        <v>1800000</v>
      </c>
      <c r="AA89" s="79"/>
      <c r="AB89" s="80">
        <v>1</v>
      </c>
      <c r="AC89" s="118">
        <f t="shared" si="11"/>
        <v>99000000</v>
      </c>
      <c r="AD89" s="250"/>
      <c r="AE89" s="251"/>
      <c r="AF89" s="31"/>
      <c r="AG89" s="81"/>
      <c r="AH89" s="81"/>
      <c r="AI89" s="81"/>
      <c r="AJ89" s="81"/>
      <c r="AK89" s="81"/>
    </row>
    <row r="90" spans="1:37" s="19" customFormat="1" ht="39.75" customHeight="1">
      <c r="A90" s="262"/>
      <c r="B90" s="271"/>
      <c r="C90" s="258"/>
      <c r="D90" s="258"/>
      <c r="E90" s="258"/>
      <c r="F90" s="258"/>
      <c r="G90" s="258"/>
      <c r="H90" s="250"/>
      <c r="I90" s="256"/>
      <c r="J90" s="250"/>
      <c r="K90" s="250"/>
      <c r="L90" s="250"/>
      <c r="M90" s="256"/>
      <c r="N90" s="250"/>
      <c r="O90" s="250"/>
      <c r="P90" s="250"/>
      <c r="Q90" s="250"/>
      <c r="R90" s="250"/>
      <c r="S90" s="250"/>
      <c r="T90" s="250"/>
      <c r="U90" s="65" t="s">
        <v>522</v>
      </c>
      <c r="V90" s="126">
        <v>25</v>
      </c>
      <c r="W90" s="126">
        <f>H86/V90</f>
        <v>61.12</v>
      </c>
      <c r="X90" s="117" t="s">
        <v>2</v>
      </c>
      <c r="Y90" s="118">
        <v>20</v>
      </c>
      <c r="Z90" s="62"/>
      <c r="AA90" s="84"/>
      <c r="AB90" s="68"/>
      <c r="AC90" s="118"/>
      <c r="AD90" s="250"/>
      <c r="AE90" s="251"/>
      <c r="AF90" s="31"/>
      <c r="AG90" s="81"/>
      <c r="AH90" s="81"/>
      <c r="AI90" s="81"/>
      <c r="AJ90" s="81"/>
      <c r="AK90" s="81"/>
    </row>
    <row r="91" spans="1:37" s="19" customFormat="1" ht="22.5" customHeight="1">
      <c r="A91" s="262"/>
      <c r="B91" s="271"/>
      <c r="C91" s="258"/>
      <c r="D91" s="258"/>
      <c r="E91" s="258"/>
      <c r="F91" s="258"/>
      <c r="G91" s="258"/>
      <c r="H91" s="250"/>
      <c r="I91" s="256"/>
      <c r="J91" s="250"/>
      <c r="K91" s="250"/>
      <c r="L91" s="250"/>
      <c r="M91" s="256"/>
      <c r="N91" s="250"/>
      <c r="O91" s="250"/>
      <c r="P91" s="250"/>
      <c r="Q91" s="250"/>
      <c r="R91" s="250"/>
      <c r="S91" s="250"/>
      <c r="T91" s="250"/>
      <c r="U91" s="67" t="s">
        <v>421</v>
      </c>
      <c r="V91" s="126"/>
      <c r="W91" s="126"/>
      <c r="X91" s="117" t="s">
        <v>2</v>
      </c>
      <c r="Y91" s="118">
        <v>20</v>
      </c>
      <c r="Z91" s="62">
        <v>1000000</v>
      </c>
      <c r="AA91" s="79"/>
      <c r="AB91" s="80">
        <v>0.5</v>
      </c>
      <c r="AC91" s="118">
        <f t="shared" ref="AC91" si="12">Y91*Z91*AB91</f>
        <v>10000000</v>
      </c>
      <c r="AD91" s="250"/>
      <c r="AE91" s="251"/>
      <c r="AF91" s="31"/>
      <c r="AG91" s="81"/>
      <c r="AH91" s="81"/>
      <c r="AI91" s="81"/>
      <c r="AJ91" s="81"/>
      <c r="AK91" s="81"/>
    </row>
    <row r="92" spans="1:37" s="19" customFormat="1" ht="34.5" customHeight="1">
      <c r="A92" s="262"/>
      <c r="B92" s="271"/>
      <c r="C92" s="258"/>
      <c r="D92" s="258"/>
      <c r="E92" s="258"/>
      <c r="F92" s="258"/>
      <c r="G92" s="258"/>
      <c r="H92" s="250"/>
      <c r="I92" s="256"/>
      <c r="J92" s="250"/>
      <c r="K92" s="250"/>
      <c r="L92" s="250"/>
      <c r="M92" s="256"/>
      <c r="N92" s="250"/>
      <c r="O92" s="250"/>
      <c r="P92" s="250"/>
      <c r="Q92" s="250"/>
      <c r="R92" s="250"/>
      <c r="S92" s="250"/>
      <c r="T92" s="250"/>
      <c r="U92" s="65" t="s">
        <v>523</v>
      </c>
      <c r="V92" s="126">
        <v>4</v>
      </c>
      <c r="W92" s="126">
        <f>H86/V92</f>
        <v>382</v>
      </c>
      <c r="X92" s="117" t="s">
        <v>396</v>
      </c>
      <c r="Y92" s="118">
        <v>30</v>
      </c>
      <c r="Z92" s="62"/>
      <c r="AA92" s="84"/>
      <c r="AB92" s="68"/>
      <c r="AC92" s="118"/>
      <c r="AD92" s="250"/>
      <c r="AE92" s="251"/>
      <c r="AF92" s="31"/>
      <c r="AG92" s="81"/>
      <c r="AH92" s="81"/>
      <c r="AI92" s="81"/>
      <c r="AJ92" s="81"/>
      <c r="AK92" s="81"/>
    </row>
    <row r="93" spans="1:37" s="19" customFormat="1" ht="22.5" customHeight="1">
      <c r="A93" s="262"/>
      <c r="B93" s="271"/>
      <c r="C93" s="258"/>
      <c r="D93" s="258"/>
      <c r="E93" s="258"/>
      <c r="F93" s="258"/>
      <c r="G93" s="258"/>
      <c r="H93" s="250"/>
      <c r="I93" s="256"/>
      <c r="J93" s="250"/>
      <c r="K93" s="250"/>
      <c r="L93" s="250"/>
      <c r="M93" s="256"/>
      <c r="N93" s="250"/>
      <c r="O93" s="250"/>
      <c r="P93" s="250"/>
      <c r="Q93" s="250"/>
      <c r="R93" s="250"/>
      <c r="S93" s="250"/>
      <c r="T93" s="250"/>
      <c r="U93" s="67" t="s">
        <v>421</v>
      </c>
      <c r="V93" s="126"/>
      <c r="W93" s="126"/>
      <c r="X93" s="117" t="s">
        <v>396</v>
      </c>
      <c r="Y93" s="118">
        <v>30</v>
      </c>
      <c r="Z93" s="62">
        <v>200000</v>
      </c>
      <c r="AA93" s="84"/>
      <c r="AB93" s="68">
        <v>0.5</v>
      </c>
      <c r="AC93" s="118">
        <f>Y93*Z93*AB93</f>
        <v>3000000</v>
      </c>
      <c r="AD93" s="250"/>
      <c r="AE93" s="251"/>
      <c r="AF93" s="31"/>
      <c r="AG93" s="81"/>
      <c r="AH93" s="81"/>
      <c r="AI93" s="81"/>
      <c r="AJ93" s="81"/>
      <c r="AK93" s="81"/>
    </row>
    <row r="94" spans="1:37" s="19" customFormat="1" ht="30.75" customHeight="1">
      <c r="A94" s="262"/>
      <c r="B94" s="271"/>
      <c r="C94" s="258"/>
      <c r="D94" s="258"/>
      <c r="E94" s="258"/>
      <c r="F94" s="258"/>
      <c r="G94" s="258"/>
      <c r="H94" s="250"/>
      <c r="I94" s="256"/>
      <c r="J94" s="250"/>
      <c r="K94" s="250"/>
      <c r="L94" s="250"/>
      <c r="M94" s="256"/>
      <c r="N94" s="250"/>
      <c r="O94" s="250"/>
      <c r="P94" s="250"/>
      <c r="Q94" s="250"/>
      <c r="R94" s="250"/>
      <c r="S94" s="250"/>
      <c r="T94" s="250"/>
      <c r="U94" s="65" t="s">
        <v>524</v>
      </c>
      <c r="V94" s="126"/>
      <c r="W94" s="126"/>
      <c r="X94" s="117" t="s">
        <v>396</v>
      </c>
      <c r="Y94" s="118">
        <v>20</v>
      </c>
      <c r="Z94" s="62"/>
      <c r="AA94" s="84"/>
      <c r="AB94" s="68"/>
      <c r="AC94" s="118"/>
      <c r="AD94" s="250"/>
      <c r="AE94" s="251"/>
      <c r="AF94" s="31"/>
      <c r="AG94" s="81"/>
      <c r="AH94" s="81"/>
      <c r="AI94" s="81"/>
      <c r="AJ94" s="81"/>
      <c r="AK94" s="81"/>
    </row>
    <row r="95" spans="1:37" s="19" customFormat="1" ht="22.5" customHeight="1">
      <c r="A95" s="262"/>
      <c r="B95" s="271"/>
      <c r="C95" s="258"/>
      <c r="D95" s="258"/>
      <c r="E95" s="258"/>
      <c r="F95" s="258"/>
      <c r="G95" s="258"/>
      <c r="H95" s="250"/>
      <c r="I95" s="256"/>
      <c r="J95" s="250"/>
      <c r="K95" s="250"/>
      <c r="L95" s="250"/>
      <c r="M95" s="256"/>
      <c r="N95" s="250"/>
      <c r="O95" s="250"/>
      <c r="P95" s="250"/>
      <c r="Q95" s="250"/>
      <c r="R95" s="250"/>
      <c r="S95" s="250"/>
      <c r="T95" s="250"/>
      <c r="U95" s="67" t="s">
        <v>421</v>
      </c>
      <c r="V95" s="126"/>
      <c r="W95" s="126"/>
      <c r="X95" s="117" t="s">
        <v>396</v>
      </c>
      <c r="Y95" s="118">
        <v>20</v>
      </c>
      <c r="Z95" s="62">
        <v>150000</v>
      </c>
      <c r="AA95" s="84"/>
      <c r="AB95" s="68">
        <v>0.5</v>
      </c>
      <c r="AC95" s="118">
        <f>Y95*Z95*AB95</f>
        <v>1500000</v>
      </c>
      <c r="AD95" s="250"/>
      <c r="AE95" s="251"/>
      <c r="AF95" s="31"/>
      <c r="AG95" s="81"/>
      <c r="AH95" s="81"/>
      <c r="AI95" s="81"/>
      <c r="AJ95" s="81"/>
      <c r="AK95" s="81"/>
    </row>
    <row r="96" spans="1:37" s="19" customFormat="1" ht="22.5" customHeight="1">
      <c r="A96" s="262"/>
      <c r="B96" s="271"/>
      <c r="C96" s="258"/>
      <c r="D96" s="258"/>
      <c r="E96" s="258"/>
      <c r="F96" s="258"/>
      <c r="G96" s="258"/>
      <c r="H96" s="250"/>
      <c r="I96" s="256"/>
      <c r="J96" s="250"/>
      <c r="K96" s="250"/>
      <c r="L96" s="250"/>
      <c r="M96" s="256"/>
      <c r="N96" s="250"/>
      <c r="O96" s="250"/>
      <c r="P96" s="250"/>
      <c r="Q96" s="250"/>
      <c r="R96" s="250"/>
      <c r="S96" s="250"/>
      <c r="T96" s="250"/>
      <c r="U96" s="124" t="s">
        <v>525</v>
      </c>
      <c r="V96" s="126"/>
      <c r="W96" s="126"/>
      <c r="X96" s="117" t="s">
        <v>399</v>
      </c>
      <c r="Y96" s="114">
        <v>2</v>
      </c>
      <c r="Z96" s="62"/>
      <c r="AA96" s="79"/>
      <c r="AB96" s="80"/>
      <c r="AC96" s="118"/>
      <c r="AD96" s="250"/>
      <c r="AE96" s="251"/>
      <c r="AF96" s="31"/>
      <c r="AG96" s="81"/>
      <c r="AH96" s="81"/>
      <c r="AI96" s="81"/>
      <c r="AJ96" s="81"/>
      <c r="AK96" s="81"/>
    </row>
    <row r="97" spans="1:37" s="19" customFormat="1" ht="35.25" customHeight="1">
      <c r="A97" s="262"/>
      <c r="B97" s="271"/>
      <c r="C97" s="262"/>
      <c r="D97" s="262">
        <v>64</v>
      </c>
      <c r="E97" s="262">
        <v>602</v>
      </c>
      <c r="F97" s="262">
        <v>355</v>
      </c>
      <c r="G97" s="262" t="s">
        <v>28</v>
      </c>
      <c r="H97" s="264">
        <v>360</v>
      </c>
      <c r="I97" s="273">
        <f>F97-H97</f>
        <v>-5</v>
      </c>
      <c r="J97" s="250"/>
      <c r="K97" s="250"/>
      <c r="L97" s="250"/>
      <c r="M97" s="256"/>
      <c r="N97" s="250"/>
      <c r="O97" s="250"/>
      <c r="P97" s="250"/>
      <c r="Q97" s="250"/>
      <c r="R97" s="250"/>
      <c r="S97" s="250"/>
      <c r="T97" s="250"/>
      <c r="U97" s="65" t="s">
        <v>420</v>
      </c>
      <c r="V97" s="126">
        <v>20</v>
      </c>
      <c r="W97" s="126">
        <f>H97/V97</f>
        <v>18</v>
      </c>
      <c r="X97" s="117" t="s">
        <v>2</v>
      </c>
      <c r="Y97" s="118">
        <v>18</v>
      </c>
      <c r="Z97" s="62"/>
      <c r="AA97" s="79"/>
      <c r="AB97" s="80"/>
      <c r="AC97" s="118"/>
      <c r="AD97" s="250">
        <f>SUM(AC97:AC107)</f>
        <v>48000000</v>
      </c>
      <c r="AE97" s="251"/>
      <c r="AF97" s="31" t="s">
        <v>526</v>
      </c>
      <c r="AG97" s="81"/>
      <c r="AH97" s="81"/>
      <c r="AI97" s="81"/>
      <c r="AJ97" s="81"/>
      <c r="AK97" s="81"/>
    </row>
    <row r="98" spans="1:37" s="19" customFormat="1" ht="22.5" customHeight="1">
      <c r="A98" s="262"/>
      <c r="B98" s="271"/>
      <c r="C98" s="262"/>
      <c r="D98" s="262"/>
      <c r="E98" s="262"/>
      <c r="F98" s="262"/>
      <c r="G98" s="262"/>
      <c r="H98" s="264"/>
      <c r="I98" s="273"/>
      <c r="J98" s="250"/>
      <c r="K98" s="250"/>
      <c r="L98" s="250"/>
      <c r="M98" s="256"/>
      <c r="N98" s="250"/>
      <c r="O98" s="250"/>
      <c r="P98" s="250"/>
      <c r="Q98" s="250"/>
      <c r="R98" s="250"/>
      <c r="S98" s="250"/>
      <c r="T98" s="250"/>
      <c r="U98" s="67" t="s">
        <v>421</v>
      </c>
      <c r="V98" s="126"/>
      <c r="W98" s="126"/>
      <c r="X98" s="117" t="s">
        <v>2</v>
      </c>
      <c r="Y98" s="118">
        <v>18</v>
      </c>
      <c r="Z98" s="62">
        <v>2500000</v>
      </c>
      <c r="AA98" s="79"/>
      <c r="AB98" s="80">
        <v>1</v>
      </c>
      <c r="AC98" s="118">
        <f>Y98*Z98*AB98</f>
        <v>45000000</v>
      </c>
      <c r="AD98" s="250"/>
      <c r="AE98" s="251"/>
      <c r="AF98" s="31"/>
      <c r="AG98" s="81"/>
      <c r="AH98" s="81"/>
      <c r="AI98" s="81"/>
      <c r="AJ98" s="81"/>
      <c r="AK98" s="81"/>
    </row>
    <row r="99" spans="1:37" s="19" customFormat="1" ht="36.75" customHeight="1">
      <c r="A99" s="262"/>
      <c r="B99" s="271"/>
      <c r="C99" s="262"/>
      <c r="D99" s="262"/>
      <c r="E99" s="262"/>
      <c r="F99" s="262"/>
      <c r="G99" s="262"/>
      <c r="H99" s="264"/>
      <c r="I99" s="273"/>
      <c r="J99" s="250"/>
      <c r="K99" s="250"/>
      <c r="L99" s="250"/>
      <c r="M99" s="256"/>
      <c r="N99" s="250"/>
      <c r="O99" s="250"/>
      <c r="P99" s="250"/>
      <c r="Q99" s="250"/>
      <c r="R99" s="250"/>
      <c r="S99" s="250"/>
      <c r="T99" s="250"/>
      <c r="U99" s="65" t="s">
        <v>527</v>
      </c>
      <c r="V99" s="126">
        <v>25</v>
      </c>
      <c r="W99" s="126">
        <f>H97/V99</f>
        <v>14.4</v>
      </c>
      <c r="X99" s="117" t="s">
        <v>2</v>
      </c>
      <c r="Y99" s="118">
        <v>10</v>
      </c>
      <c r="Z99" s="62"/>
      <c r="AA99" s="84"/>
      <c r="AB99" s="68"/>
      <c r="AC99" s="118"/>
      <c r="AD99" s="250"/>
      <c r="AE99" s="251"/>
      <c r="AF99" s="31"/>
      <c r="AG99" s="81"/>
      <c r="AH99" s="81"/>
      <c r="AI99" s="81"/>
      <c r="AJ99" s="81"/>
      <c r="AK99" s="81"/>
    </row>
    <row r="100" spans="1:37" s="19" customFormat="1" ht="23.25" customHeight="1">
      <c r="A100" s="262"/>
      <c r="B100" s="271"/>
      <c r="C100" s="262"/>
      <c r="D100" s="262"/>
      <c r="E100" s="262"/>
      <c r="F100" s="262"/>
      <c r="G100" s="262"/>
      <c r="H100" s="264"/>
      <c r="I100" s="273"/>
      <c r="J100" s="250"/>
      <c r="K100" s="250"/>
      <c r="L100" s="250"/>
      <c r="M100" s="256"/>
      <c r="N100" s="250"/>
      <c r="O100" s="250"/>
      <c r="P100" s="250"/>
      <c r="Q100" s="250"/>
      <c r="R100" s="250"/>
      <c r="S100" s="250"/>
      <c r="T100" s="250"/>
      <c r="U100" s="67" t="s">
        <v>421</v>
      </c>
      <c r="V100" s="126"/>
      <c r="W100" s="126"/>
      <c r="X100" s="117" t="s">
        <v>2</v>
      </c>
      <c r="Y100" s="118">
        <v>10</v>
      </c>
      <c r="Z100" s="62">
        <v>1000000</v>
      </c>
      <c r="AA100" s="79"/>
      <c r="AB100" s="80">
        <v>0.3</v>
      </c>
      <c r="AC100" s="118">
        <f t="shared" ref="AC100" si="13">Y100*Z100*AB100</f>
        <v>3000000</v>
      </c>
      <c r="AD100" s="250"/>
      <c r="AE100" s="251"/>
      <c r="AF100" s="31"/>
      <c r="AG100" s="81"/>
      <c r="AH100" s="81"/>
      <c r="AI100" s="81"/>
      <c r="AJ100" s="81"/>
      <c r="AK100" s="81"/>
    </row>
    <row r="101" spans="1:37" s="19" customFormat="1" ht="35.25" customHeight="1">
      <c r="A101" s="262"/>
      <c r="B101" s="271"/>
      <c r="C101" s="262"/>
      <c r="D101" s="262"/>
      <c r="E101" s="262"/>
      <c r="F101" s="262"/>
      <c r="G101" s="262"/>
      <c r="H101" s="264"/>
      <c r="I101" s="273"/>
      <c r="J101" s="250"/>
      <c r="K101" s="250"/>
      <c r="L101" s="250"/>
      <c r="M101" s="256"/>
      <c r="N101" s="250"/>
      <c r="O101" s="250"/>
      <c r="P101" s="250"/>
      <c r="Q101" s="250"/>
      <c r="R101" s="250"/>
      <c r="S101" s="250"/>
      <c r="T101" s="250"/>
      <c r="U101" s="65" t="s">
        <v>528</v>
      </c>
      <c r="V101" s="126"/>
      <c r="W101" s="126"/>
      <c r="X101" s="117" t="s">
        <v>2</v>
      </c>
      <c r="Y101" s="118">
        <v>10</v>
      </c>
      <c r="Z101" s="62"/>
      <c r="AA101" s="79"/>
      <c r="AB101" s="80"/>
      <c r="AC101" s="118"/>
      <c r="AD101" s="250"/>
      <c r="AE101" s="251"/>
      <c r="AF101" s="31"/>
      <c r="AG101" s="81"/>
      <c r="AH101" s="81"/>
      <c r="AI101" s="81"/>
      <c r="AJ101" s="81"/>
      <c r="AK101" s="81"/>
    </row>
    <row r="102" spans="1:37" s="19" customFormat="1" ht="23.25" customHeight="1">
      <c r="A102" s="262"/>
      <c r="B102" s="271"/>
      <c r="C102" s="262"/>
      <c r="D102" s="262"/>
      <c r="E102" s="262"/>
      <c r="F102" s="262"/>
      <c r="G102" s="262"/>
      <c r="H102" s="264"/>
      <c r="I102" s="273"/>
      <c r="J102" s="250"/>
      <c r="K102" s="250"/>
      <c r="L102" s="250"/>
      <c r="M102" s="256"/>
      <c r="N102" s="250"/>
      <c r="O102" s="250"/>
      <c r="P102" s="250"/>
      <c r="Q102" s="250"/>
      <c r="R102" s="250"/>
      <c r="S102" s="250"/>
      <c r="T102" s="250"/>
      <c r="U102" s="67" t="s">
        <v>486</v>
      </c>
      <c r="V102" s="126"/>
      <c r="W102" s="126"/>
      <c r="X102" s="117" t="s">
        <v>2</v>
      </c>
      <c r="Y102" s="118">
        <v>10</v>
      </c>
      <c r="Z102" s="62">
        <v>500000</v>
      </c>
      <c r="AA102" s="79"/>
      <c r="AB102" s="80">
        <v>0</v>
      </c>
      <c r="AC102" s="118">
        <f t="shared" ref="AC102" si="14">Y102*Z102*AB102</f>
        <v>0</v>
      </c>
      <c r="AD102" s="250"/>
      <c r="AE102" s="251"/>
      <c r="AF102" s="31"/>
      <c r="AG102" s="81"/>
      <c r="AH102" s="81"/>
      <c r="AI102" s="81"/>
      <c r="AJ102" s="81"/>
      <c r="AK102" s="81"/>
    </row>
    <row r="103" spans="1:37" s="19" customFormat="1" ht="37.5" customHeight="1">
      <c r="A103" s="262"/>
      <c r="B103" s="271"/>
      <c r="C103" s="262"/>
      <c r="D103" s="262"/>
      <c r="E103" s="262"/>
      <c r="F103" s="262"/>
      <c r="G103" s="262"/>
      <c r="H103" s="264"/>
      <c r="I103" s="273"/>
      <c r="J103" s="250"/>
      <c r="K103" s="250"/>
      <c r="L103" s="250"/>
      <c r="M103" s="256"/>
      <c r="N103" s="250"/>
      <c r="O103" s="250"/>
      <c r="P103" s="250"/>
      <c r="Q103" s="250"/>
      <c r="R103" s="250"/>
      <c r="S103" s="250"/>
      <c r="T103" s="250"/>
      <c r="U103" s="65" t="s">
        <v>529</v>
      </c>
      <c r="V103" s="126"/>
      <c r="W103" s="126"/>
      <c r="X103" s="117" t="s">
        <v>2</v>
      </c>
      <c r="Y103" s="118">
        <v>10</v>
      </c>
      <c r="Z103" s="62"/>
      <c r="AA103" s="84"/>
      <c r="AB103" s="68"/>
      <c r="AC103" s="118"/>
      <c r="AD103" s="250"/>
      <c r="AE103" s="251"/>
      <c r="AF103" s="31"/>
      <c r="AG103" s="81"/>
      <c r="AH103" s="81"/>
      <c r="AI103" s="81"/>
      <c r="AJ103" s="81"/>
      <c r="AK103" s="81"/>
    </row>
    <row r="104" spans="1:37" s="19" customFormat="1" ht="23.25" customHeight="1">
      <c r="A104" s="262"/>
      <c r="B104" s="271"/>
      <c r="C104" s="262"/>
      <c r="D104" s="262"/>
      <c r="E104" s="262"/>
      <c r="F104" s="262"/>
      <c r="G104" s="262"/>
      <c r="H104" s="264"/>
      <c r="I104" s="273"/>
      <c r="J104" s="250"/>
      <c r="K104" s="250"/>
      <c r="L104" s="250"/>
      <c r="M104" s="256"/>
      <c r="N104" s="250"/>
      <c r="O104" s="250"/>
      <c r="P104" s="250"/>
      <c r="Q104" s="250"/>
      <c r="R104" s="250"/>
      <c r="S104" s="250"/>
      <c r="T104" s="250"/>
      <c r="U104" s="67" t="s">
        <v>486</v>
      </c>
      <c r="V104" s="126"/>
      <c r="W104" s="126"/>
      <c r="X104" s="117" t="s">
        <v>2</v>
      </c>
      <c r="Y104" s="118">
        <v>100</v>
      </c>
      <c r="Z104" s="62">
        <v>190000</v>
      </c>
      <c r="AA104" s="79"/>
      <c r="AB104" s="80">
        <v>0</v>
      </c>
      <c r="AC104" s="118">
        <f t="shared" ref="AC104" si="15">Y104*Z104*AB104</f>
        <v>0</v>
      </c>
      <c r="AD104" s="250"/>
      <c r="AE104" s="251"/>
      <c r="AF104" s="31"/>
      <c r="AG104" s="81"/>
      <c r="AH104" s="81"/>
      <c r="AI104" s="81"/>
      <c r="AJ104" s="81"/>
      <c r="AK104" s="81"/>
    </row>
    <row r="105" spans="1:37" s="19" customFormat="1" ht="53.25" customHeight="1">
      <c r="A105" s="262"/>
      <c r="B105" s="271"/>
      <c r="C105" s="262"/>
      <c r="D105" s="262"/>
      <c r="E105" s="262"/>
      <c r="F105" s="262"/>
      <c r="G105" s="262"/>
      <c r="H105" s="264"/>
      <c r="I105" s="273"/>
      <c r="J105" s="250"/>
      <c r="K105" s="250"/>
      <c r="L105" s="250"/>
      <c r="M105" s="256"/>
      <c r="N105" s="250"/>
      <c r="O105" s="250"/>
      <c r="P105" s="250"/>
      <c r="Q105" s="250"/>
      <c r="R105" s="250"/>
      <c r="S105" s="250"/>
      <c r="T105" s="250"/>
      <c r="U105" s="120" t="s">
        <v>470</v>
      </c>
      <c r="V105" s="126"/>
      <c r="W105" s="126"/>
      <c r="X105" s="117" t="s">
        <v>6</v>
      </c>
      <c r="Y105" s="114">
        <v>181.5</v>
      </c>
      <c r="Z105" s="62"/>
      <c r="AA105" s="79"/>
      <c r="AB105" s="80"/>
      <c r="AC105" s="118"/>
      <c r="AD105" s="250"/>
      <c r="AE105" s="251"/>
      <c r="AF105" s="31"/>
      <c r="AG105" s="81"/>
      <c r="AH105" s="81"/>
      <c r="AI105" s="81"/>
      <c r="AJ105" s="81"/>
      <c r="AK105" s="81"/>
    </row>
    <row r="106" spans="1:37" s="19" customFormat="1" ht="48" customHeight="1">
      <c r="A106" s="262"/>
      <c r="B106" s="271"/>
      <c r="C106" s="262"/>
      <c r="D106" s="262"/>
      <c r="E106" s="262"/>
      <c r="F106" s="262"/>
      <c r="G106" s="262"/>
      <c r="H106" s="264"/>
      <c r="I106" s="273"/>
      <c r="J106" s="250"/>
      <c r="K106" s="250"/>
      <c r="L106" s="250"/>
      <c r="M106" s="256"/>
      <c r="N106" s="250"/>
      <c r="O106" s="250"/>
      <c r="P106" s="250"/>
      <c r="Q106" s="250"/>
      <c r="R106" s="250"/>
      <c r="S106" s="250"/>
      <c r="T106" s="250"/>
      <c r="U106" s="124" t="s">
        <v>508</v>
      </c>
      <c r="V106" s="126"/>
      <c r="W106" s="126"/>
      <c r="X106" s="117" t="s">
        <v>6</v>
      </c>
      <c r="Y106" s="114">
        <v>6</v>
      </c>
      <c r="Z106" s="62"/>
      <c r="AA106" s="79"/>
      <c r="AB106" s="80"/>
      <c r="AC106" s="118"/>
      <c r="AD106" s="250"/>
      <c r="AE106" s="251"/>
      <c r="AF106" s="31"/>
      <c r="AG106" s="81"/>
      <c r="AH106" s="81"/>
      <c r="AI106" s="81"/>
      <c r="AJ106" s="81"/>
      <c r="AK106" s="81"/>
    </row>
    <row r="107" spans="1:37" s="19" customFormat="1" ht="23.25" customHeight="1">
      <c r="A107" s="262"/>
      <c r="B107" s="271"/>
      <c r="C107" s="262"/>
      <c r="D107" s="262"/>
      <c r="E107" s="262"/>
      <c r="F107" s="262"/>
      <c r="G107" s="262"/>
      <c r="H107" s="264"/>
      <c r="I107" s="273"/>
      <c r="J107" s="250"/>
      <c r="K107" s="250"/>
      <c r="L107" s="250"/>
      <c r="M107" s="256"/>
      <c r="N107" s="250"/>
      <c r="O107" s="250"/>
      <c r="P107" s="250"/>
      <c r="Q107" s="250"/>
      <c r="R107" s="250"/>
      <c r="S107" s="250"/>
      <c r="T107" s="250"/>
      <c r="U107" s="124" t="s">
        <v>484</v>
      </c>
      <c r="V107" s="126"/>
      <c r="W107" s="126"/>
      <c r="X107" s="117" t="s">
        <v>399</v>
      </c>
      <c r="Y107" s="114">
        <v>1</v>
      </c>
      <c r="Z107" s="62"/>
      <c r="AA107" s="79"/>
      <c r="AB107" s="80"/>
      <c r="AC107" s="118"/>
      <c r="AD107" s="250"/>
      <c r="AE107" s="251"/>
      <c r="AF107" s="31"/>
      <c r="AG107" s="81"/>
      <c r="AH107" s="81"/>
      <c r="AI107" s="81"/>
      <c r="AJ107" s="81"/>
      <c r="AK107" s="81"/>
    </row>
    <row r="108" spans="1:37" s="20" customFormat="1" ht="30.75" customHeight="1">
      <c r="A108" s="262">
        <v>14</v>
      </c>
      <c r="B108" s="271" t="s">
        <v>531</v>
      </c>
      <c r="C108" s="271" t="s">
        <v>412</v>
      </c>
      <c r="D108" s="258">
        <v>64</v>
      </c>
      <c r="E108" s="258">
        <v>598</v>
      </c>
      <c r="F108" s="258">
        <v>356.8</v>
      </c>
      <c r="G108" s="258" t="s">
        <v>28</v>
      </c>
      <c r="H108" s="250">
        <v>360</v>
      </c>
      <c r="I108" s="256">
        <f>F108-H108</f>
        <v>-3.1999999999999886</v>
      </c>
      <c r="J108" s="250">
        <v>360</v>
      </c>
      <c r="K108" s="250">
        <v>360</v>
      </c>
      <c r="L108" s="250">
        <v>450</v>
      </c>
      <c r="M108" s="272">
        <f>J108/K108*100</f>
        <v>100</v>
      </c>
      <c r="N108" s="250">
        <v>12</v>
      </c>
      <c r="O108" s="250">
        <v>2</v>
      </c>
      <c r="P108" s="250">
        <v>80000</v>
      </c>
      <c r="Q108" s="250">
        <f>P108*J108</f>
        <v>28800000</v>
      </c>
      <c r="R108" s="250">
        <f>Q108*3</f>
        <v>86400000</v>
      </c>
      <c r="S108" s="250">
        <f>N108*O108*17000*30</f>
        <v>12240000</v>
      </c>
      <c r="T108" s="250">
        <f>SUM(Q108:S118)</f>
        <v>127440000</v>
      </c>
      <c r="U108" s="65" t="s">
        <v>457</v>
      </c>
      <c r="V108" s="126">
        <v>25</v>
      </c>
      <c r="W108" s="126">
        <f>(J108-Y116)/V108</f>
        <v>14.175999999999998</v>
      </c>
      <c r="X108" s="117" t="s">
        <v>2</v>
      </c>
      <c r="Y108" s="118">
        <v>10</v>
      </c>
      <c r="Z108" s="62"/>
      <c r="AA108" s="79"/>
      <c r="AB108" s="80"/>
      <c r="AC108" s="118"/>
      <c r="AD108" s="250">
        <f>SUM(AC108:AC118)</f>
        <v>50050000</v>
      </c>
      <c r="AE108" s="251">
        <f>T108+AD108</f>
        <v>177490000</v>
      </c>
      <c r="AF108" s="31" t="s">
        <v>452</v>
      </c>
      <c r="AG108" s="29"/>
      <c r="AH108" s="29"/>
      <c r="AI108" s="29"/>
      <c r="AJ108" s="29"/>
      <c r="AK108" s="29"/>
    </row>
    <row r="109" spans="1:37" s="20" customFormat="1" ht="22.5" customHeight="1">
      <c r="A109" s="262"/>
      <c r="B109" s="271"/>
      <c r="C109" s="271"/>
      <c r="D109" s="258"/>
      <c r="E109" s="258"/>
      <c r="F109" s="258"/>
      <c r="G109" s="258"/>
      <c r="H109" s="250"/>
      <c r="I109" s="256"/>
      <c r="J109" s="250"/>
      <c r="K109" s="250"/>
      <c r="L109" s="250"/>
      <c r="M109" s="272"/>
      <c r="N109" s="250"/>
      <c r="O109" s="250"/>
      <c r="P109" s="250"/>
      <c r="Q109" s="250"/>
      <c r="R109" s="250"/>
      <c r="S109" s="250"/>
      <c r="T109" s="250"/>
      <c r="U109" s="67" t="s">
        <v>421</v>
      </c>
      <c r="V109" s="126"/>
      <c r="W109" s="126"/>
      <c r="X109" s="117" t="s">
        <v>2</v>
      </c>
      <c r="Y109" s="118">
        <v>10</v>
      </c>
      <c r="Z109" s="62">
        <v>4500000</v>
      </c>
      <c r="AA109" s="79"/>
      <c r="AB109" s="80">
        <v>1</v>
      </c>
      <c r="AC109" s="118">
        <f>Y109*Z109*AB109</f>
        <v>45000000</v>
      </c>
      <c r="AD109" s="250"/>
      <c r="AE109" s="251"/>
      <c r="AF109" s="31"/>
      <c r="AG109" s="29"/>
      <c r="AH109" s="29"/>
      <c r="AI109" s="29"/>
      <c r="AJ109" s="29"/>
      <c r="AK109" s="29"/>
    </row>
    <row r="110" spans="1:37" s="20" customFormat="1" ht="31.5">
      <c r="A110" s="262"/>
      <c r="B110" s="271"/>
      <c r="C110" s="271"/>
      <c r="D110" s="258"/>
      <c r="E110" s="258"/>
      <c r="F110" s="258"/>
      <c r="G110" s="258"/>
      <c r="H110" s="250"/>
      <c r="I110" s="256"/>
      <c r="J110" s="250"/>
      <c r="K110" s="250"/>
      <c r="L110" s="250"/>
      <c r="M110" s="272"/>
      <c r="N110" s="250"/>
      <c r="O110" s="250"/>
      <c r="P110" s="250"/>
      <c r="Q110" s="250"/>
      <c r="R110" s="250"/>
      <c r="S110" s="250"/>
      <c r="T110" s="250"/>
      <c r="U110" s="65" t="s">
        <v>527</v>
      </c>
      <c r="V110" s="126">
        <v>25</v>
      </c>
      <c r="W110" s="126">
        <f>(J108-Y116)/V110</f>
        <v>14.175999999999998</v>
      </c>
      <c r="X110" s="117" t="s">
        <v>2</v>
      </c>
      <c r="Y110" s="118">
        <v>8</v>
      </c>
      <c r="Z110" s="62"/>
      <c r="AA110" s="84"/>
      <c r="AB110" s="68"/>
      <c r="AC110" s="118"/>
      <c r="AD110" s="250"/>
      <c r="AE110" s="251"/>
      <c r="AF110" s="31"/>
      <c r="AG110" s="29"/>
      <c r="AH110" s="29"/>
      <c r="AI110" s="29"/>
      <c r="AJ110" s="29"/>
      <c r="AK110" s="29"/>
    </row>
    <row r="111" spans="1:37" s="20" customFormat="1" ht="21.75" customHeight="1">
      <c r="A111" s="262"/>
      <c r="B111" s="271"/>
      <c r="C111" s="271"/>
      <c r="D111" s="258"/>
      <c r="E111" s="258"/>
      <c r="F111" s="258"/>
      <c r="G111" s="258"/>
      <c r="H111" s="250"/>
      <c r="I111" s="256"/>
      <c r="J111" s="250"/>
      <c r="K111" s="250"/>
      <c r="L111" s="250"/>
      <c r="M111" s="272"/>
      <c r="N111" s="250"/>
      <c r="O111" s="250"/>
      <c r="P111" s="250"/>
      <c r="Q111" s="250"/>
      <c r="R111" s="250"/>
      <c r="S111" s="250"/>
      <c r="T111" s="250"/>
      <c r="U111" s="67" t="s">
        <v>421</v>
      </c>
      <c r="V111" s="126"/>
      <c r="W111" s="126"/>
      <c r="X111" s="117" t="s">
        <v>2</v>
      </c>
      <c r="Y111" s="118">
        <v>8</v>
      </c>
      <c r="Z111" s="62">
        <v>1000000</v>
      </c>
      <c r="AA111" s="79"/>
      <c r="AB111" s="80">
        <v>0.5</v>
      </c>
      <c r="AC111" s="118">
        <f t="shared" ref="AC111" si="16">Y111*Z111*AB111</f>
        <v>4000000</v>
      </c>
      <c r="AD111" s="250"/>
      <c r="AE111" s="251"/>
      <c r="AF111" s="31"/>
      <c r="AG111" s="29"/>
      <c r="AH111" s="29"/>
      <c r="AI111" s="29"/>
      <c r="AJ111" s="29"/>
      <c r="AK111" s="29"/>
    </row>
    <row r="112" spans="1:37" s="20" customFormat="1" ht="35.25" customHeight="1">
      <c r="A112" s="262"/>
      <c r="B112" s="271"/>
      <c r="C112" s="271"/>
      <c r="D112" s="258"/>
      <c r="E112" s="258"/>
      <c r="F112" s="258"/>
      <c r="G112" s="258"/>
      <c r="H112" s="250"/>
      <c r="I112" s="256"/>
      <c r="J112" s="250"/>
      <c r="K112" s="250"/>
      <c r="L112" s="250"/>
      <c r="M112" s="272"/>
      <c r="N112" s="250"/>
      <c r="O112" s="250"/>
      <c r="P112" s="250"/>
      <c r="Q112" s="250"/>
      <c r="R112" s="250"/>
      <c r="S112" s="250"/>
      <c r="T112" s="250"/>
      <c r="U112" s="65" t="s">
        <v>533</v>
      </c>
      <c r="V112" s="126">
        <v>10</v>
      </c>
      <c r="W112" s="126">
        <f>(J108-Y116)/V112</f>
        <v>35.44</v>
      </c>
      <c r="X112" s="117" t="s">
        <v>2</v>
      </c>
      <c r="Y112" s="118">
        <v>2</v>
      </c>
      <c r="Z112" s="62"/>
      <c r="AA112" s="79"/>
      <c r="AB112" s="80"/>
      <c r="AC112" s="118"/>
      <c r="AD112" s="250"/>
      <c r="AE112" s="251"/>
      <c r="AF112" s="31"/>
      <c r="AG112" s="29"/>
      <c r="AH112" s="29"/>
      <c r="AI112" s="29"/>
      <c r="AJ112" s="29"/>
      <c r="AK112" s="29"/>
    </row>
    <row r="113" spans="1:37" s="20" customFormat="1" ht="23.25" customHeight="1">
      <c r="A113" s="262"/>
      <c r="B113" s="271"/>
      <c r="C113" s="271"/>
      <c r="D113" s="258"/>
      <c r="E113" s="258"/>
      <c r="F113" s="258"/>
      <c r="G113" s="258"/>
      <c r="H113" s="250"/>
      <c r="I113" s="256"/>
      <c r="J113" s="250"/>
      <c r="K113" s="250"/>
      <c r="L113" s="250"/>
      <c r="M113" s="272"/>
      <c r="N113" s="250"/>
      <c r="O113" s="250"/>
      <c r="P113" s="250"/>
      <c r="Q113" s="250"/>
      <c r="R113" s="250"/>
      <c r="S113" s="250"/>
      <c r="T113" s="250"/>
      <c r="U113" s="67" t="s">
        <v>421</v>
      </c>
      <c r="V113" s="126"/>
      <c r="W113" s="126"/>
      <c r="X113" s="117" t="s">
        <v>2</v>
      </c>
      <c r="Y113" s="118">
        <v>2</v>
      </c>
      <c r="Z113" s="62">
        <v>200000</v>
      </c>
      <c r="AA113" s="79"/>
      <c r="AB113" s="80">
        <v>0.5</v>
      </c>
      <c r="AC113" s="118">
        <f t="shared" ref="AC113" si="17">Y113*Z113*AB113</f>
        <v>200000</v>
      </c>
      <c r="AD113" s="250"/>
      <c r="AE113" s="251"/>
      <c r="AF113" s="31"/>
      <c r="AG113" s="29"/>
      <c r="AH113" s="29"/>
      <c r="AI113" s="29"/>
      <c r="AJ113" s="29"/>
      <c r="AK113" s="29"/>
    </row>
    <row r="114" spans="1:37" s="20" customFormat="1" ht="31.5">
      <c r="A114" s="262"/>
      <c r="B114" s="271"/>
      <c r="C114" s="271"/>
      <c r="D114" s="258"/>
      <c r="E114" s="258"/>
      <c r="F114" s="258"/>
      <c r="G114" s="258"/>
      <c r="H114" s="250"/>
      <c r="I114" s="256"/>
      <c r="J114" s="250"/>
      <c r="K114" s="250"/>
      <c r="L114" s="250"/>
      <c r="M114" s="272"/>
      <c r="N114" s="250"/>
      <c r="O114" s="250"/>
      <c r="P114" s="250"/>
      <c r="Q114" s="250"/>
      <c r="R114" s="250"/>
      <c r="S114" s="250"/>
      <c r="T114" s="250"/>
      <c r="U114" s="65" t="s">
        <v>534</v>
      </c>
      <c r="V114" s="126">
        <v>28.57</v>
      </c>
      <c r="W114" s="126">
        <f>(J108-Y116)/V114</f>
        <v>12.404620231011549</v>
      </c>
      <c r="X114" s="117" t="s">
        <v>2</v>
      </c>
      <c r="Y114" s="118">
        <v>2</v>
      </c>
      <c r="Z114" s="62"/>
      <c r="AA114" s="84"/>
      <c r="AB114" s="68"/>
      <c r="AC114" s="118"/>
      <c r="AD114" s="250"/>
      <c r="AE114" s="251"/>
      <c r="AF114" s="31"/>
      <c r="AG114" s="29"/>
      <c r="AH114" s="29"/>
      <c r="AI114" s="29"/>
      <c r="AJ114" s="29"/>
      <c r="AK114" s="29"/>
    </row>
    <row r="115" spans="1:37" s="20" customFormat="1" ht="21" customHeight="1">
      <c r="A115" s="262"/>
      <c r="B115" s="271"/>
      <c r="C115" s="271"/>
      <c r="D115" s="258"/>
      <c r="E115" s="258"/>
      <c r="F115" s="258"/>
      <c r="G115" s="258"/>
      <c r="H115" s="250"/>
      <c r="I115" s="256"/>
      <c r="J115" s="250"/>
      <c r="K115" s="250"/>
      <c r="L115" s="250"/>
      <c r="M115" s="272"/>
      <c r="N115" s="250"/>
      <c r="O115" s="250"/>
      <c r="P115" s="250"/>
      <c r="Q115" s="250"/>
      <c r="R115" s="250"/>
      <c r="S115" s="250"/>
      <c r="T115" s="250"/>
      <c r="U115" s="67" t="s">
        <v>421</v>
      </c>
      <c r="V115" s="126"/>
      <c r="W115" s="126"/>
      <c r="X115" s="117" t="s">
        <v>2</v>
      </c>
      <c r="Y115" s="118">
        <v>2</v>
      </c>
      <c r="Z115" s="62">
        <v>850000</v>
      </c>
      <c r="AA115" s="79"/>
      <c r="AB115" s="80">
        <v>0.5</v>
      </c>
      <c r="AC115" s="118">
        <f t="shared" ref="AC115" si="18">Y115*Z115*AB115</f>
        <v>850000</v>
      </c>
      <c r="AD115" s="250"/>
      <c r="AE115" s="251"/>
      <c r="AF115" s="31"/>
      <c r="AG115" s="29"/>
      <c r="AH115" s="29"/>
      <c r="AI115" s="29"/>
      <c r="AJ115" s="29"/>
      <c r="AK115" s="29"/>
    </row>
    <row r="116" spans="1:37" s="20" customFormat="1" ht="21" customHeight="1">
      <c r="A116" s="262"/>
      <c r="B116" s="271"/>
      <c r="C116" s="271"/>
      <c r="D116" s="258"/>
      <c r="E116" s="258"/>
      <c r="F116" s="258"/>
      <c r="G116" s="258"/>
      <c r="H116" s="250"/>
      <c r="I116" s="256"/>
      <c r="J116" s="250"/>
      <c r="K116" s="250"/>
      <c r="L116" s="250"/>
      <c r="M116" s="272"/>
      <c r="N116" s="250"/>
      <c r="O116" s="250"/>
      <c r="P116" s="250"/>
      <c r="Q116" s="250"/>
      <c r="R116" s="250"/>
      <c r="S116" s="250"/>
      <c r="T116" s="250"/>
      <c r="U116" s="120" t="s">
        <v>535</v>
      </c>
      <c r="V116" s="126"/>
      <c r="W116" s="126"/>
      <c r="X116" s="117" t="s">
        <v>0</v>
      </c>
      <c r="Y116" s="114">
        <v>5.6</v>
      </c>
      <c r="Z116" s="62"/>
      <c r="AA116" s="79"/>
      <c r="AB116" s="80"/>
      <c r="AC116" s="118"/>
      <c r="AD116" s="250"/>
      <c r="AE116" s="251"/>
      <c r="AF116" s="31"/>
      <c r="AG116" s="29"/>
      <c r="AH116" s="29"/>
      <c r="AI116" s="29"/>
      <c r="AJ116" s="29"/>
      <c r="AK116" s="29"/>
    </row>
    <row r="117" spans="1:37" s="20" customFormat="1" ht="58.5" customHeight="1">
      <c r="A117" s="262"/>
      <c r="B117" s="271"/>
      <c r="C117" s="271"/>
      <c r="D117" s="258"/>
      <c r="E117" s="258"/>
      <c r="F117" s="258"/>
      <c r="G117" s="258"/>
      <c r="H117" s="250"/>
      <c r="I117" s="256"/>
      <c r="J117" s="250"/>
      <c r="K117" s="250"/>
      <c r="L117" s="250"/>
      <c r="M117" s="272"/>
      <c r="N117" s="250"/>
      <c r="O117" s="250"/>
      <c r="P117" s="250"/>
      <c r="Q117" s="250"/>
      <c r="R117" s="250"/>
      <c r="S117" s="250"/>
      <c r="T117" s="250"/>
      <c r="U117" s="120" t="s">
        <v>536</v>
      </c>
      <c r="V117" s="126"/>
      <c r="W117" s="126"/>
      <c r="X117" s="117" t="s">
        <v>6</v>
      </c>
      <c r="Y117" s="118">
        <v>4.2</v>
      </c>
      <c r="Z117" s="62"/>
      <c r="AA117" s="79"/>
      <c r="AB117" s="80"/>
      <c r="AC117" s="118"/>
      <c r="AD117" s="250"/>
      <c r="AE117" s="251"/>
      <c r="AF117" s="31"/>
      <c r="AG117" s="29"/>
      <c r="AH117" s="29"/>
      <c r="AI117" s="29"/>
      <c r="AJ117" s="29"/>
      <c r="AK117" s="29"/>
    </row>
    <row r="118" spans="1:37" s="20" customFormat="1" ht="48.75" customHeight="1">
      <c r="A118" s="262"/>
      <c r="B118" s="271"/>
      <c r="C118" s="271"/>
      <c r="D118" s="258"/>
      <c r="E118" s="258"/>
      <c r="F118" s="258"/>
      <c r="G118" s="258"/>
      <c r="H118" s="250"/>
      <c r="I118" s="256"/>
      <c r="J118" s="250"/>
      <c r="K118" s="250"/>
      <c r="L118" s="250"/>
      <c r="M118" s="272"/>
      <c r="N118" s="250"/>
      <c r="O118" s="250"/>
      <c r="P118" s="250"/>
      <c r="Q118" s="250"/>
      <c r="R118" s="250"/>
      <c r="S118" s="250"/>
      <c r="T118" s="250"/>
      <c r="U118" s="124" t="s">
        <v>537</v>
      </c>
      <c r="V118" s="101"/>
      <c r="W118" s="101"/>
      <c r="X118" s="117" t="s">
        <v>6</v>
      </c>
      <c r="Y118" s="101">
        <v>11</v>
      </c>
      <c r="Z118" s="100"/>
      <c r="AA118" s="84"/>
      <c r="AB118" s="117"/>
      <c r="AC118" s="118"/>
      <c r="AD118" s="250"/>
      <c r="AE118" s="251"/>
      <c r="AF118" s="31"/>
      <c r="AG118" s="29"/>
      <c r="AH118" s="29"/>
      <c r="AI118" s="29"/>
      <c r="AJ118" s="29"/>
      <c r="AK118" s="29"/>
    </row>
    <row r="119" spans="1:37" s="20" customFormat="1" ht="31.5" customHeight="1">
      <c r="A119" s="262">
        <v>15</v>
      </c>
      <c r="B119" s="271" t="s">
        <v>404</v>
      </c>
      <c r="C119" s="271" t="s">
        <v>412</v>
      </c>
      <c r="D119" s="258">
        <v>64</v>
      </c>
      <c r="E119" s="258">
        <v>482</v>
      </c>
      <c r="F119" s="258">
        <v>179.9</v>
      </c>
      <c r="G119" s="258" t="s">
        <v>28</v>
      </c>
      <c r="H119" s="250">
        <v>180</v>
      </c>
      <c r="I119" s="256">
        <f>F119-H119</f>
        <v>-9.9999999999994316E-2</v>
      </c>
      <c r="J119" s="250">
        <v>180</v>
      </c>
      <c r="K119" s="250">
        <v>702</v>
      </c>
      <c r="L119" s="250">
        <v>450</v>
      </c>
      <c r="M119" s="272">
        <f>J119/K119*100</f>
        <v>25.641025641025639</v>
      </c>
      <c r="N119" s="250">
        <v>5</v>
      </c>
      <c r="O119" s="250">
        <v>2</v>
      </c>
      <c r="P119" s="250">
        <v>80000</v>
      </c>
      <c r="Q119" s="250">
        <f>P119*J119</f>
        <v>14400000</v>
      </c>
      <c r="R119" s="250">
        <f>Q119*3</f>
        <v>43200000</v>
      </c>
      <c r="S119" s="250">
        <f>N119*O119*17000*30</f>
        <v>5100000</v>
      </c>
      <c r="T119" s="250">
        <f>SUM(Q119:S122)</f>
        <v>62700000</v>
      </c>
      <c r="U119" s="65" t="s">
        <v>545</v>
      </c>
      <c r="V119" s="126">
        <v>25</v>
      </c>
      <c r="W119" s="126">
        <f>J119/V119</f>
        <v>7.2</v>
      </c>
      <c r="X119" s="117" t="s">
        <v>2</v>
      </c>
      <c r="Y119" s="118">
        <v>7</v>
      </c>
      <c r="Z119" s="62"/>
      <c r="AA119" s="84"/>
      <c r="AB119" s="68"/>
      <c r="AC119" s="118"/>
      <c r="AD119" s="250">
        <f>SUM(AC119:AC122)</f>
        <v>27370000</v>
      </c>
      <c r="AE119" s="251">
        <f>T119+AD119</f>
        <v>90070000</v>
      </c>
      <c r="AF119" s="31" t="s">
        <v>546</v>
      </c>
      <c r="AG119" s="29"/>
      <c r="AH119" s="29"/>
      <c r="AI119" s="29"/>
      <c r="AJ119" s="29"/>
      <c r="AK119" s="29"/>
    </row>
    <row r="120" spans="1:37" s="20" customFormat="1" ht="22.5" customHeight="1">
      <c r="A120" s="262"/>
      <c r="B120" s="271"/>
      <c r="C120" s="271"/>
      <c r="D120" s="258"/>
      <c r="E120" s="258"/>
      <c r="F120" s="258"/>
      <c r="G120" s="258"/>
      <c r="H120" s="250"/>
      <c r="I120" s="256"/>
      <c r="J120" s="250"/>
      <c r="K120" s="250"/>
      <c r="L120" s="250"/>
      <c r="M120" s="272"/>
      <c r="N120" s="250"/>
      <c r="O120" s="250"/>
      <c r="P120" s="250"/>
      <c r="Q120" s="250"/>
      <c r="R120" s="250"/>
      <c r="S120" s="250"/>
      <c r="T120" s="250"/>
      <c r="U120" s="67" t="s">
        <v>421</v>
      </c>
      <c r="V120" s="126"/>
      <c r="W120" s="126"/>
      <c r="X120" s="117" t="s">
        <v>2</v>
      </c>
      <c r="Y120" s="118">
        <v>7</v>
      </c>
      <c r="Z120" s="62">
        <v>3850000</v>
      </c>
      <c r="AA120" s="79"/>
      <c r="AB120" s="80">
        <v>1</v>
      </c>
      <c r="AC120" s="118">
        <f t="shared" ref="AC120" si="19">Y120*Z120*AB120</f>
        <v>26950000</v>
      </c>
      <c r="AD120" s="250"/>
      <c r="AE120" s="251"/>
      <c r="AF120" s="31"/>
      <c r="AG120" s="29"/>
      <c r="AH120" s="29"/>
      <c r="AI120" s="29"/>
      <c r="AJ120" s="29"/>
      <c r="AK120" s="29"/>
    </row>
    <row r="121" spans="1:37" s="20" customFormat="1" ht="31.5">
      <c r="A121" s="262"/>
      <c r="B121" s="271"/>
      <c r="C121" s="271"/>
      <c r="D121" s="258"/>
      <c r="E121" s="258"/>
      <c r="F121" s="258"/>
      <c r="G121" s="258"/>
      <c r="H121" s="250"/>
      <c r="I121" s="256"/>
      <c r="J121" s="250"/>
      <c r="K121" s="250"/>
      <c r="L121" s="250"/>
      <c r="M121" s="272"/>
      <c r="N121" s="250"/>
      <c r="O121" s="250"/>
      <c r="P121" s="250"/>
      <c r="Q121" s="250"/>
      <c r="R121" s="250"/>
      <c r="S121" s="250"/>
      <c r="T121" s="250"/>
      <c r="U121" s="65" t="s">
        <v>547</v>
      </c>
      <c r="V121" s="126">
        <v>10</v>
      </c>
      <c r="W121" s="126">
        <f>J119/V121</f>
        <v>18</v>
      </c>
      <c r="X121" s="117" t="s">
        <v>396</v>
      </c>
      <c r="Y121" s="118">
        <v>10</v>
      </c>
      <c r="Z121" s="62"/>
      <c r="AA121" s="84"/>
      <c r="AB121" s="68"/>
      <c r="AC121" s="118"/>
      <c r="AD121" s="250"/>
      <c r="AE121" s="251"/>
      <c r="AF121" s="31"/>
      <c r="AG121" s="29"/>
      <c r="AH121" s="29"/>
      <c r="AI121" s="29"/>
      <c r="AJ121" s="29"/>
      <c r="AK121" s="29"/>
    </row>
    <row r="122" spans="1:37" s="20" customFormat="1" ht="21" customHeight="1">
      <c r="A122" s="262"/>
      <c r="B122" s="271"/>
      <c r="C122" s="271"/>
      <c r="D122" s="258"/>
      <c r="E122" s="258"/>
      <c r="F122" s="258"/>
      <c r="G122" s="258"/>
      <c r="H122" s="250"/>
      <c r="I122" s="256"/>
      <c r="J122" s="250"/>
      <c r="K122" s="250"/>
      <c r="L122" s="250"/>
      <c r="M122" s="272"/>
      <c r="N122" s="250"/>
      <c r="O122" s="250"/>
      <c r="P122" s="250"/>
      <c r="Q122" s="250"/>
      <c r="R122" s="250"/>
      <c r="S122" s="250"/>
      <c r="T122" s="250"/>
      <c r="U122" s="67" t="s">
        <v>421</v>
      </c>
      <c r="V122" s="126"/>
      <c r="W122" s="126"/>
      <c r="X122" s="117" t="s">
        <v>396</v>
      </c>
      <c r="Y122" s="118">
        <v>10</v>
      </c>
      <c r="Z122" s="62">
        <v>140000</v>
      </c>
      <c r="AA122" s="84"/>
      <c r="AB122" s="68">
        <v>0.3</v>
      </c>
      <c r="AC122" s="118">
        <f>Y122*Z122*AB122</f>
        <v>420000</v>
      </c>
      <c r="AD122" s="250"/>
      <c r="AE122" s="251"/>
      <c r="AF122" s="31"/>
      <c r="AG122" s="29"/>
      <c r="AH122" s="29"/>
      <c r="AI122" s="29"/>
      <c r="AJ122" s="29"/>
      <c r="AK122" s="29"/>
    </row>
    <row r="123" spans="1:37" s="20" customFormat="1" ht="33.75" customHeight="1">
      <c r="A123" s="262">
        <v>16</v>
      </c>
      <c r="B123" s="271" t="s">
        <v>405</v>
      </c>
      <c r="C123" s="271" t="s">
        <v>412</v>
      </c>
      <c r="D123" s="258">
        <v>64</v>
      </c>
      <c r="E123" s="258">
        <v>496</v>
      </c>
      <c r="F123" s="258">
        <v>1459.3</v>
      </c>
      <c r="G123" s="258" t="s">
        <v>28</v>
      </c>
      <c r="H123" s="250">
        <v>1444.5</v>
      </c>
      <c r="I123" s="256">
        <f>F123-H123</f>
        <v>14.799999999999955</v>
      </c>
      <c r="J123" s="250">
        <v>1444.5</v>
      </c>
      <c r="K123" s="250">
        <v>1800</v>
      </c>
      <c r="L123" s="250">
        <v>450</v>
      </c>
      <c r="M123" s="272">
        <f>J123/K123*100</f>
        <v>80.25</v>
      </c>
      <c r="N123" s="250">
        <v>12</v>
      </c>
      <c r="O123" s="250">
        <v>10</v>
      </c>
      <c r="P123" s="250">
        <v>80000</v>
      </c>
      <c r="Q123" s="250">
        <f>P123*J123</f>
        <v>115560000</v>
      </c>
      <c r="R123" s="250">
        <f>Q123*3</f>
        <v>346680000</v>
      </c>
      <c r="S123" s="250">
        <f>N123*O123*17000*30</f>
        <v>61200000</v>
      </c>
      <c r="T123" s="250">
        <f>SUM(Q123:S139)</f>
        <v>523440000</v>
      </c>
      <c r="U123" s="65" t="s">
        <v>457</v>
      </c>
      <c r="V123" s="126">
        <v>25</v>
      </c>
      <c r="W123" s="126">
        <f>(J123-12)/V123</f>
        <v>57.3</v>
      </c>
      <c r="X123" s="117" t="s">
        <v>2</v>
      </c>
      <c r="Y123" s="118">
        <v>29</v>
      </c>
      <c r="Z123" s="62"/>
      <c r="AA123" s="79"/>
      <c r="AB123" s="80"/>
      <c r="AC123" s="118"/>
      <c r="AD123" s="250">
        <f>SUM(AC123:AC139)</f>
        <v>250705000</v>
      </c>
      <c r="AE123" s="251">
        <f>T123+AD123</f>
        <v>774145000</v>
      </c>
      <c r="AF123" s="31" t="s">
        <v>448</v>
      </c>
      <c r="AG123" s="29"/>
      <c r="AH123" s="29"/>
      <c r="AI123" s="29"/>
      <c r="AJ123" s="29"/>
      <c r="AK123" s="29"/>
    </row>
    <row r="124" spans="1:37" s="20" customFormat="1" ht="21" customHeight="1">
      <c r="A124" s="262"/>
      <c r="B124" s="271"/>
      <c r="C124" s="271"/>
      <c r="D124" s="258"/>
      <c r="E124" s="258"/>
      <c r="F124" s="258"/>
      <c r="G124" s="258"/>
      <c r="H124" s="250"/>
      <c r="I124" s="256"/>
      <c r="J124" s="250"/>
      <c r="K124" s="250"/>
      <c r="L124" s="250"/>
      <c r="M124" s="272"/>
      <c r="N124" s="250"/>
      <c r="O124" s="250"/>
      <c r="P124" s="250"/>
      <c r="Q124" s="250"/>
      <c r="R124" s="250"/>
      <c r="S124" s="250"/>
      <c r="T124" s="250"/>
      <c r="U124" s="67" t="s">
        <v>421</v>
      </c>
      <c r="V124" s="126"/>
      <c r="W124" s="126"/>
      <c r="X124" s="117" t="s">
        <v>2</v>
      </c>
      <c r="Y124" s="118">
        <v>29</v>
      </c>
      <c r="Z124" s="62">
        <v>4500000</v>
      </c>
      <c r="AA124" s="79"/>
      <c r="AB124" s="80">
        <v>1</v>
      </c>
      <c r="AC124" s="118">
        <f>Y124*Z124*AB124</f>
        <v>130500000</v>
      </c>
      <c r="AD124" s="250"/>
      <c r="AE124" s="251"/>
      <c r="AF124" s="31"/>
      <c r="AG124" s="29"/>
      <c r="AH124" s="29"/>
      <c r="AI124" s="29"/>
      <c r="AJ124" s="29"/>
      <c r="AK124" s="29"/>
    </row>
    <row r="125" spans="1:37" s="20" customFormat="1" ht="31.5">
      <c r="A125" s="262"/>
      <c r="B125" s="271"/>
      <c r="C125" s="271"/>
      <c r="D125" s="258"/>
      <c r="E125" s="258"/>
      <c r="F125" s="258"/>
      <c r="G125" s="258"/>
      <c r="H125" s="250"/>
      <c r="I125" s="256"/>
      <c r="J125" s="250"/>
      <c r="K125" s="250"/>
      <c r="L125" s="250"/>
      <c r="M125" s="272"/>
      <c r="N125" s="250"/>
      <c r="O125" s="250"/>
      <c r="P125" s="250"/>
      <c r="Q125" s="250"/>
      <c r="R125" s="250"/>
      <c r="S125" s="250"/>
      <c r="T125" s="250"/>
      <c r="U125" s="65" t="s">
        <v>643</v>
      </c>
      <c r="V125" s="126"/>
      <c r="W125" s="126"/>
      <c r="X125" s="117" t="s">
        <v>2</v>
      </c>
      <c r="Y125" s="118">
        <v>30</v>
      </c>
      <c r="Z125" s="62"/>
      <c r="AA125" s="84"/>
      <c r="AB125" s="68"/>
      <c r="AC125" s="118"/>
      <c r="AD125" s="250"/>
      <c r="AE125" s="251"/>
      <c r="AF125" s="31"/>
      <c r="AG125" s="29"/>
      <c r="AH125" s="29"/>
      <c r="AI125" s="29"/>
      <c r="AJ125" s="29"/>
      <c r="AK125" s="29"/>
    </row>
    <row r="126" spans="1:37" s="20" customFormat="1" ht="21" customHeight="1">
      <c r="A126" s="262"/>
      <c r="B126" s="271"/>
      <c r="C126" s="271"/>
      <c r="D126" s="258"/>
      <c r="E126" s="258"/>
      <c r="F126" s="258"/>
      <c r="G126" s="258"/>
      <c r="H126" s="250"/>
      <c r="I126" s="256"/>
      <c r="J126" s="250"/>
      <c r="K126" s="250"/>
      <c r="L126" s="250"/>
      <c r="M126" s="272"/>
      <c r="N126" s="250"/>
      <c r="O126" s="250"/>
      <c r="P126" s="250"/>
      <c r="Q126" s="250"/>
      <c r="R126" s="250"/>
      <c r="S126" s="250"/>
      <c r="T126" s="250"/>
      <c r="U126" s="67" t="s">
        <v>421</v>
      </c>
      <c r="V126" s="126"/>
      <c r="W126" s="126"/>
      <c r="X126" s="117" t="s">
        <v>2</v>
      </c>
      <c r="Y126" s="118">
        <v>28</v>
      </c>
      <c r="Z126" s="62">
        <v>3850000</v>
      </c>
      <c r="AA126" s="79"/>
      <c r="AB126" s="80">
        <v>1</v>
      </c>
      <c r="AC126" s="118">
        <f t="shared" ref="AC126:AC128" si="20">Y126*Z126*AB126</f>
        <v>107800000</v>
      </c>
      <c r="AD126" s="250"/>
      <c r="AE126" s="251"/>
      <c r="AF126" s="31"/>
      <c r="AG126" s="29"/>
      <c r="AH126" s="29"/>
      <c r="AI126" s="29"/>
      <c r="AJ126" s="29"/>
      <c r="AK126" s="29"/>
    </row>
    <row r="127" spans="1:37" s="20" customFormat="1" ht="21" customHeight="1">
      <c r="A127" s="262"/>
      <c r="B127" s="271"/>
      <c r="C127" s="271"/>
      <c r="D127" s="258"/>
      <c r="E127" s="258"/>
      <c r="F127" s="258"/>
      <c r="G127" s="258"/>
      <c r="H127" s="250"/>
      <c r="I127" s="256"/>
      <c r="J127" s="250"/>
      <c r="K127" s="250"/>
      <c r="L127" s="250"/>
      <c r="M127" s="272"/>
      <c r="N127" s="250"/>
      <c r="O127" s="250"/>
      <c r="P127" s="250"/>
      <c r="Q127" s="250"/>
      <c r="R127" s="250"/>
      <c r="S127" s="250"/>
      <c r="T127" s="250"/>
      <c r="U127" s="67" t="s">
        <v>423</v>
      </c>
      <c r="V127" s="126"/>
      <c r="W127" s="126">
        <f>0.3*2</f>
        <v>0.6</v>
      </c>
      <c r="X127" s="117" t="s">
        <v>2</v>
      </c>
      <c r="Y127" s="118">
        <v>1</v>
      </c>
      <c r="Z127" s="62">
        <v>3850000</v>
      </c>
      <c r="AA127" s="79"/>
      <c r="AB127" s="80">
        <v>0.3</v>
      </c>
      <c r="AC127" s="118">
        <f t="shared" si="20"/>
        <v>1155000</v>
      </c>
      <c r="AD127" s="250"/>
      <c r="AE127" s="251"/>
      <c r="AF127" s="31"/>
      <c r="AG127" s="29"/>
      <c r="AH127" s="29"/>
      <c r="AI127" s="29"/>
      <c r="AJ127" s="29"/>
      <c r="AK127" s="29"/>
    </row>
    <row r="128" spans="1:37" s="20" customFormat="1" ht="21" customHeight="1">
      <c r="A128" s="262"/>
      <c r="B128" s="271"/>
      <c r="C128" s="271"/>
      <c r="D128" s="258"/>
      <c r="E128" s="258"/>
      <c r="F128" s="258"/>
      <c r="G128" s="258"/>
      <c r="H128" s="250"/>
      <c r="I128" s="256"/>
      <c r="J128" s="250"/>
      <c r="K128" s="250"/>
      <c r="L128" s="250"/>
      <c r="M128" s="272"/>
      <c r="N128" s="250"/>
      <c r="O128" s="250"/>
      <c r="P128" s="250"/>
      <c r="Q128" s="250"/>
      <c r="R128" s="250"/>
      <c r="S128" s="250"/>
      <c r="T128" s="250"/>
      <c r="U128" s="67" t="s">
        <v>424</v>
      </c>
      <c r="V128" s="126"/>
      <c r="W128" s="126"/>
      <c r="X128" s="117" t="s">
        <v>2</v>
      </c>
      <c r="Y128" s="118">
        <v>1</v>
      </c>
      <c r="Z128" s="62">
        <v>3850000</v>
      </c>
      <c r="AA128" s="79"/>
      <c r="AB128" s="80">
        <v>0</v>
      </c>
      <c r="AC128" s="118">
        <f t="shared" si="20"/>
        <v>0</v>
      </c>
      <c r="AD128" s="250"/>
      <c r="AE128" s="251"/>
      <c r="AF128" s="31"/>
      <c r="AG128" s="29"/>
      <c r="AH128" s="29"/>
      <c r="AI128" s="29"/>
      <c r="AJ128" s="29"/>
      <c r="AK128" s="29"/>
    </row>
    <row r="129" spans="1:37" s="20" customFormat="1" ht="31.5">
      <c r="A129" s="262"/>
      <c r="B129" s="271"/>
      <c r="C129" s="271"/>
      <c r="D129" s="258"/>
      <c r="E129" s="258"/>
      <c r="F129" s="258"/>
      <c r="G129" s="258"/>
      <c r="H129" s="250"/>
      <c r="I129" s="256"/>
      <c r="J129" s="250"/>
      <c r="K129" s="250"/>
      <c r="L129" s="250"/>
      <c r="M129" s="272"/>
      <c r="N129" s="250"/>
      <c r="O129" s="250"/>
      <c r="P129" s="250"/>
      <c r="Q129" s="250"/>
      <c r="R129" s="250"/>
      <c r="S129" s="250"/>
      <c r="T129" s="250"/>
      <c r="U129" s="65" t="s">
        <v>468</v>
      </c>
      <c r="V129" s="126">
        <v>20</v>
      </c>
      <c r="W129" s="126">
        <f>(J123-12)/V129</f>
        <v>71.625</v>
      </c>
      <c r="X129" s="117" t="s">
        <v>2</v>
      </c>
      <c r="Y129" s="118">
        <v>15</v>
      </c>
      <c r="Z129" s="62"/>
      <c r="AA129" s="79"/>
      <c r="AB129" s="80"/>
      <c r="AC129" s="118"/>
      <c r="AD129" s="250"/>
      <c r="AE129" s="251"/>
      <c r="AF129" s="31"/>
      <c r="AG129" s="29"/>
      <c r="AH129" s="29"/>
      <c r="AI129" s="29"/>
      <c r="AJ129" s="29"/>
      <c r="AK129" s="29"/>
    </row>
    <row r="130" spans="1:37" s="20" customFormat="1" ht="40.5" customHeight="1">
      <c r="A130" s="262"/>
      <c r="B130" s="271"/>
      <c r="C130" s="271"/>
      <c r="D130" s="258"/>
      <c r="E130" s="258"/>
      <c r="F130" s="258"/>
      <c r="G130" s="258"/>
      <c r="H130" s="250"/>
      <c r="I130" s="256"/>
      <c r="J130" s="250"/>
      <c r="K130" s="250"/>
      <c r="L130" s="250"/>
      <c r="M130" s="272"/>
      <c r="N130" s="250"/>
      <c r="O130" s="250"/>
      <c r="P130" s="250"/>
      <c r="Q130" s="250"/>
      <c r="R130" s="250"/>
      <c r="S130" s="250"/>
      <c r="T130" s="250"/>
      <c r="U130" s="67" t="s">
        <v>497</v>
      </c>
      <c r="V130" s="126"/>
      <c r="W130" s="126">
        <f>0.3*W129</f>
        <v>21.487500000000001</v>
      </c>
      <c r="X130" s="117" t="s">
        <v>2</v>
      </c>
      <c r="Y130" s="118">
        <v>15</v>
      </c>
      <c r="Z130" s="62">
        <v>2500000</v>
      </c>
      <c r="AA130" s="79"/>
      <c r="AB130" s="80">
        <v>0.3</v>
      </c>
      <c r="AC130" s="118">
        <f>Y130*Z130*AB130</f>
        <v>11250000</v>
      </c>
      <c r="AD130" s="250"/>
      <c r="AE130" s="251"/>
      <c r="AF130" s="31"/>
      <c r="AG130" s="29"/>
      <c r="AH130" s="29"/>
      <c r="AI130" s="29"/>
      <c r="AJ130" s="29"/>
      <c r="AK130" s="29"/>
    </row>
    <row r="131" spans="1:37" s="20" customFormat="1" ht="31.5">
      <c r="A131" s="262"/>
      <c r="B131" s="271"/>
      <c r="C131" s="271"/>
      <c r="D131" s="258"/>
      <c r="E131" s="258"/>
      <c r="F131" s="258"/>
      <c r="G131" s="258"/>
      <c r="H131" s="250"/>
      <c r="I131" s="256"/>
      <c r="J131" s="250"/>
      <c r="K131" s="250"/>
      <c r="L131" s="250"/>
      <c r="M131" s="272"/>
      <c r="N131" s="250"/>
      <c r="O131" s="250"/>
      <c r="P131" s="250"/>
      <c r="Q131" s="250"/>
      <c r="R131" s="250"/>
      <c r="S131" s="250"/>
      <c r="T131" s="250"/>
      <c r="U131" s="65" t="s">
        <v>488</v>
      </c>
      <c r="V131" s="126">
        <v>4</v>
      </c>
      <c r="W131" s="126">
        <f>J123/V131</f>
        <v>361.125</v>
      </c>
      <c r="X131" s="117" t="s">
        <v>396</v>
      </c>
      <c r="Y131" s="118">
        <v>70</v>
      </c>
      <c r="Z131" s="62"/>
      <c r="AA131" s="84"/>
      <c r="AB131" s="68"/>
      <c r="AC131" s="118"/>
      <c r="AD131" s="250"/>
      <c r="AE131" s="251"/>
      <c r="AF131" s="31"/>
      <c r="AG131" s="29"/>
      <c r="AH131" s="29"/>
      <c r="AI131" s="29"/>
      <c r="AJ131" s="29"/>
      <c r="AK131" s="29"/>
    </row>
    <row r="132" spans="1:37" s="20" customFormat="1" ht="21" customHeight="1">
      <c r="A132" s="262"/>
      <c r="B132" s="271"/>
      <c r="C132" s="271"/>
      <c r="D132" s="258"/>
      <c r="E132" s="258"/>
      <c r="F132" s="258"/>
      <c r="G132" s="258"/>
      <c r="H132" s="250"/>
      <c r="I132" s="256"/>
      <c r="J132" s="250"/>
      <c r="K132" s="250"/>
      <c r="L132" s="250"/>
      <c r="M132" s="272"/>
      <c r="N132" s="250"/>
      <c r="O132" s="250"/>
      <c r="P132" s="250"/>
      <c r="Q132" s="250"/>
      <c r="R132" s="250"/>
      <c r="S132" s="250"/>
      <c r="T132" s="250"/>
      <c r="U132" s="67" t="s">
        <v>486</v>
      </c>
      <c r="V132" s="126"/>
      <c r="W132" s="126">
        <f>0.3*W131</f>
        <v>108.33749999999999</v>
      </c>
      <c r="X132" s="117" t="s">
        <v>396</v>
      </c>
      <c r="Y132" s="118">
        <v>70</v>
      </c>
      <c r="Z132" s="62">
        <v>200000</v>
      </c>
      <c r="AA132" s="84"/>
      <c r="AB132" s="68">
        <v>0</v>
      </c>
      <c r="AC132" s="118">
        <f>Y132*Z132*AB132</f>
        <v>0</v>
      </c>
      <c r="AD132" s="250"/>
      <c r="AE132" s="251"/>
      <c r="AF132" s="31"/>
      <c r="AG132" s="29"/>
      <c r="AH132" s="29"/>
      <c r="AI132" s="29"/>
      <c r="AJ132" s="29"/>
      <c r="AK132" s="29"/>
    </row>
    <row r="133" spans="1:37" s="20" customFormat="1" ht="35.25" customHeight="1">
      <c r="A133" s="262"/>
      <c r="B133" s="271"/>
      <c r="C133" s="271"/>
      <c r="D133" s="258"/>
      <c r="E133" s="258"/>
      <c r="F133" s="258"/>
      <c r="G133" s="258"/>
      <c r="H133" s="250"/>
      <c r="I133" s="256"/>
      <c r="J133" s="250"/>
      <c r="K133" s="250"/>
      <c r="L133" s="250"/>
      <c r="M133" s="272"/>
      <c r="N133" s="250"/>
      <c r="O133" s="250"/>
      <c r="P133" s="250"/>
      <c r="Q133" s="250"/>
      <c r="R133" s="250"/>
      <c r="S133" s="250"/>
      <c r="T133" s="250"/>
      <c r="U133" s="65" t="s">
        <v>431</v>
      </c>
      <c r="V133" s="126"/>
      <c r="W133" s="126"/>
      <c r="X133" s="117" t="s">
        <v>396</v>
      </c>
      <c r="Y133" s="118">
        <v>60</v>
      </c>
      <c r="Z133" s="62"/>
      <c r="AA133" s="84"/>
      <c r="AB133" s="68"/>
      <c r="AC133" s="118"/>
      <c r="AD133" s="250"/>
      <c r="AE133" s="251"/>
      <c r="AF133" s="31"/>
      <c r="AG133" s="29"/>
      <c r="AH133" s="29"/>
      <c r="AI133" s="29"/>
      <c r="AJ133" s="29"/>
      <c r="AK133" s="29"/>
    </row>
    <row r="134" spans="1:37" s="20" customFormat="1" ht="21" customHeight="1">
      <c r="A134" s="262"/>
      <c r="B134" s="271"/>
      <c r="C134" s="271"/>
      <c r="D134" s="258"/>
      <c r="E134" s="258"/>
      <c r="F134" s="258"/>
      <c r="G134" s="258"/>
      <c r="H134" s="250"/>
      <c r="I134" s="256"/>
      <c r="J134" s="250"/>
      <c r="K134" s="250"/>
      <c r="L134" s="250"/>
      <c r="M134" s="272"/>
      <c r="N134" s="250"/>
      <c r="O134" s="250"/>
      <c r="P134" s="250"/>
      <c r="Q134" s="250"/>
      <c r="R134" s="250"/>
      <c r="S134" s="250"/>
      <c r="T134" s="250"/>
      <c r="U134" s="67" t="s">
        <v>486</v>
      </c>
      <c r="V134" s="126"/>
      <c r="W134" s="126"/>
      <c r="X134" s="117" t="s">
        <v>396</v>
      </c>
      <c r="Y134" s="118">
        <v>60</v>
      </c>
      <c r="Z134" s="62">
        <v>150000</v>
      </c>
      <c r="AA134" s="84"/>
      <c r="AB134" s="68">
        <v>0</v>
      </c>
      <c r="AC134" s="118">
        <f>Y134*Z134*AB134</f>
        <v>0</v>
      </c>
      <c r="AD134" s="250"/>
      <c r="AE134" s="251"/>
      <c r="AF134" s="31"/>
      <c r="AG134" s="29"/>
      <c r="AH134" s="29"/>
      <c r="AI134" s="29"/>
      <c r="AJ134" s="29"/>
      <c r="AK134" s="29"/>
    </row>
    <row r="135" spans="1:37" s="20" customFormat="1" ht="56.25" customHeight="1">
      <c r="A135" s="262"/>
      <c r="B135" s="271"/>
      <c r="C135" s="271"/>
      <c r="D135" s="258"/>
      <c r="E135" s="258"/>
      <c r="F135" s="258"/>
      <c r="G135" s="258"/>
      <c r="H135" s="250"/>
      <c r="I135" s="256"/>
      <c r="J135" s="250"/>
      <c r="K135" s="250"/>
      <c r="L135" s="250"/>
      <c r="M135" s="272"/>
      <c r="N135" s="250"/>
      <c r="O135" s="250"/>
      <c r="P135" s="250"/>
      <c r="Q135" s="250"/>
      <c r="R135" s="250"/>
      <c r="S135" s="250"/>
      <c r="T135" s="250"/>
      <c r="U135" s="120" t="s">
        <v>483</v>
      </c>
      <c r="V135" s="126"/>
      <c r="W135" s="126"/>
      <c r="X135" s="117" t="s">
        <v>6</v>
      </c>
      <c r="Y135" s="114">
        <v>140</v>
      </c>
      <c r="Z135" s="62"/>
      <c r="AA135" s="84"/>
      <c r="AB135" s="68"/>
      <c r="AC135" s="118"/>
      <c r="AD135" s="250"/>
      <c r="AE135" s="251"/>
      <c r="AF135" s="31"/>
      <c r="AG135" s="29"/>
      <c r="AH135" s="29"/>
      <c r="AI135" s="29"/>
      <c r="AJ135" s="29"/>
      <c r="AK135" s="29"/>
    </row>
    <row r="136" spans="1:37" s="20" customFormat="1" ht="22.5" customHeight="1">
      <c r="A136" s="262"/>
      <c r="B136" s="271"/>
      <c r="C136" s="271"/>
      <c r="D136" s="258"/>
      <c r="E136" s="258"/>
      <c r="F136" s="258"/>
      <c r="G136" s="258"/>
      <c r="H136" s="250"/>
      <c r="I136" s="256"/>
      <c r="J136" s="250"/>
      <c r="K136" s="250"/>
      <c r="L136" s="250"/>
      <c r="M136" s="272"/>
      <c r="N136" s="250"/>
      <c r="O136" s="250"/>
      <c r="P136" s="250"/>
      <c r="Q136" s="250"/>
      <c r="R136" s="250"/>
      <c r="S136" s="250"/>
      <c r="T136" s="250"/>
      <c r="U136" s="120" t="s">
        <v>576</v>
      </c>
      <c r="V136" s="126"/>
      <c r="W136" s="126"/>
      <c r="X136" s="117" t="s">
        <v>6</v>
      </c>
      <c r="Y136" s="114">
        <v>240</v>
      </c>
      <c r="Z136" s="62"/>
      <c r="AA136" s="84"/>
      <c r="AB136" s="68"/>
      <c r="AC136" s="118"/>
      <c r="AD136" s="250"/>
      <c r="AE136" s="251"/>
      <c r="AF136" s="31"/>
      <c r="AG136" s="29"/>
      <c r="AH136" s="29"/>
      <c r="AI136" s="29"/>
      <c r="AJ136" s="29"/>
      <c r="AK136" s="29"/>
    </row>
    <row r="137" spans="1:37" s="20" customFormat="1" ht="22.5" customHeight="1">
      <c r="A137" s="262"/>
      <c r="B137" s="271"/>
      <c r="C137" s="271"/>
      <c r="D137" s="258"/>
      <c r="E137" s="258"/>
      <c r="F137" s="258"/>
      <c r="G137" s="258"/>
      <c r="H137" s="250"/>
      <c r="I137" s="256"/>
      <c r="J137" s="250"/>
      <c r="K137" s="250"/>
      <c r="L137" s="250"/>
      <c r="M137" s="272"/>
      <c r="N137" s="250"/>
      <c r="O137" s="250"/>
      <c r="P137" s="250"/>
      <c r="Q137" s="250"/>
      <c r="R137" s="250"/>
      <c r="S137" s="250"/>
      <c r="T137" s="250"/>
      <c r="U137" s="124" t="s">
        <v>443</v>
      </c>
      <c r="V137" s="126"/>
      <c r="W137" s="126"/>
      <c r="X137" s="117" t="s">
        <v>399</v>
      </c>
      <c r="Y137" s="114">
        <v>2</v>
      </c>
      <c r="Z137" s="62"/>
      <c r="AA137" s="84"/>
      <c r="AB137" s="68"/>
      <c r="AC137" s="118"/>
      <c r="AD137" s="250"/>
      <c r="AE137" s="251"/>
      <c r="AF137" s="31"/>
      <c r="AG137" s="29"/>
      <c r="AH137" s="29"/>
      <c r="AI137" s="29"/>
      <c r="AJ137" s="29"/>
      <c r="AK137" s="29"/>
    </row>
    <row r="138" spans="1:37" s="20" customFormat="1" ht="47.25" customHeight="1">
      <c r="A138" s="262"/>
      <c r="B138" s="271"/>
      <c r="C138" s="271"/>
      <c r="D138" s="258"/>
      <c r="E138" s="258"/>
      <c r="F138" s="258"/>
      <c r="G138" s="258"/>
      <c r="H138" s="250"/>
      <c r="I138" s="256"/>
      <c r="J138" s="250"/>
      <c r="K138" s="250"/>
      <c r="L138" s="250"/>
      <c r="M138" s="272"/>
      <c r="N138" s="250"/>
      <c r="O138" s="250"/>
      <c r="P138" s="250"/>
      <c r="Q138" s="250"/>
      <c r="R138" s="250"/>
      <c r="S138" s="250"/>
      <c r="T138" s="250"/>
      <c r="U138" s="124" t="s">
        <v>577</v>
      </c>
      <c r="V138" s="126"/>
      <c r="W138" s="126"/>
      <c r="X138" s="117" t="s">
        <v>414</v>
      </c>
      <c r="Y138" s="114">
        <v>18</v>
      </c>
      <c r="Z138" s="62"/>
      <c r="AA138" s="84"/>
      <c r="AB138" s="68"/>
      <c r="AC138" s="118"/>
      <c r="AD138" s="250"/>
      <c r="AE138" s="251"/>
      <c r="AF138" s="31"/>
      <c r="AG138" s="29"/>
      <c r="AH138" s="29"/>
      <c r="AI138" s="29"/>
      <c r="AJ138" s="29"/>
      <c r="AK138" s="29"/>
    </row>
    <row r="139" spans="1:37" s="20" customFormat="1" ht="47.25" customHeight="1">
      <c r="A139" s="262"/>
      <c r="B139" s="271"/>
      <c r="C139" s="271"/>
      <c r="D139" s="258"/>
      <c r="E139" s="258"/>
      <c r="F139" s="258"/>
      <c r="G139" s="258"/>
      <c r="H139" s="250"/>
      <c r="I139" s="256"/>
      <c r="J139" s="250"/>
      <c r="K139" s="250"/>
      <c r="L139" s="250"/>
      <c r="M139" s="272"/>
      <c r="N139" s="250"/>
      <c r="O139" s="250"/>
      <c r="P139" s="250"/>
      <c r="Q139" s="250"/>
      <c r="R139" s="250"/>
      <c r="S139" s="250"/>
      <c r="T139" s="250"/>
      <c r="U139" s="120" t="s">
        <v>578</v>
      </c>
      <c r="V139" s="126"/>
      <c r="W139" s="126"/>
      <c r="X139" s="117" t="s">
        <v>7</v>
      </c>
      <c r="Y139" s="114">
        <v>100</v>
      </c>
      <c r="Z139" s="62"/>
      <c r="AA139" s="79"/>
      <c r="AB139" s="80"/>
      <c r="AC139" s="118"/>
      <c r="AD139" s="250"/>
      <c r="AE139" s="251"/>
      <c r="AF139" s="31"/>
      <c r="AG139" s="29"/>
      <c r="AH139" s="29"/>
      <c r="AI139" s="29"/>
      <c r="AJ139" s="29"/>
      <c r="AK139" s="29"/>
    </row>
    <row r="140" spans="1:37" s="19" customFormat="1" ht="23.25" customHeight="1">
      <c r="A140" s="262">
        <v>17</v>
      </c>
      <c r="B140" s="263" t="s">
        <v>548</v>
      </c>
      <c r="C140" s="258" t="s">
        <v>33</v>
      </c>
      <c r="D140" s="258">
        <v>64</v>
      </c>
      <c r="E140" s="258">
        <v>816</v>
      </c>
      <c r="F140" s="258">
        <v>183.6</v>
      </c>
      <c r="G140" s="258" t="s">
        <v>28</v>
      </c>
      <c r="H140" s="250">
        <v>180</v>
      </c>
      <c r="I140" s="256">
        <f>F140-H140</f>
        <v>3.5999999999999943</v>
      </c>
      <c r="J140" s="250">
        <v>180</v>
      </c>
      <c r="K140" s="250">
        <v>1080</v>
      </c>
      <c r="L140" s="258"/>
      <c r="M140" s="272">
        <f>J140/K140*100</f>
        <v>16.666666666666664</v>
      </c>
      <c r="N140" s="250">
        <v>3</v>
      </c>
      <c r="O140" s="250">
        <v>7</v>
      </c>
      <c r="P140" s="250">
        <v>80000</v>
      </c>
      <c r="Q140" s="250">
        <f>P140*J140</f>
        <v>14400000</v>
      </c>
      <c r="R140" s="250">
        <f>Q140*3</f>
        <v>43200000</v>
      </c>
      <c r="S140" s="250">
        <f>N140*O140*17000*30</f>
        <v>10710000</v>
      </c>
      <c r="T140" s="250">
        <f>SUM(Q140:S146)</f>
        <v>68310000</v>
      </c>
      <c r="U140" s="82" t="s">
        <v>446</v>
      </c>
      <c r="V140" s="126"/>
      <c r="W140" s="126"/>
      <c r="X140" s="117" t="s">
        <v>0</v>
      </c>
      <c r="Y140" s="83">
        <v>135</v>
      </c>
      <c r="Z140" s="62">
        <v>180000</v>
      </c>
      <c r="AA140" s="84"/>
      <c r="AB140" s="68">
        <v>1</v>
      </c>
      <c r="AC140" s="118">
        <f>Y140*Z140*AB140</f>
        <v>24300000</v>
      </c>
      <c r="AD140" s="250">
        <f>SUM(AC140:AC146)</f>
        <v>26800000</v>
      </c>
      <c r="AE140" s="251">
        <f>T140+AD140</f>
        <v>95110000</v>
      </c>
      <c r="AF140" s="31"/>
      <c r="AG140" s="81"/>
      <c r="AH140" s="81"/>
      <c r="AI140" s="81"/>
      <c r="AJ140" s="81"/>
      <c r="AK140" s="81"/>
    </row>
    <row r="141" spans="1:37" s="19" customFormat="1" ht="36" customHeight="1">
      <c r="A141" s="262"/>
      <c r="B141" s="263"/>
      <c r="C141" s="258"/>
      <c r="D141" s="258"/>
      <c r="E141" s="258"/>
      <c r="F141" s="258"/>
      <c r="G141" s="258"/>
      <c r="H141" s="250"/>
      <c r="I141" s="256"/>
      <c r="J141" s="250"/>
      <c r="K141" s="250"/>
      <c r="L141" s="258"/>
      <c r="M141" s="272"/>
      <c r="N141" s="250"/>
      <c r="O141" s="250"/>
      <c r="P141" s="250"/>
      <c r="Q141" s="250"/>
      <c r="R141" s="250"/>
      <c r="S141" s="250"/>
      <c r="T141" s="250"/>
      <c r="U141" s="65" t="s">
        <v>449</v>
      </c>
      <c r="V141" s="126">
        <v>4</v>
      </c>
      <c r="W141" s="126">
        <f>(J140-Y140)/V141</f>
        <v>11.25</v>
      </c>
      <c r="X141" s="117" t="s">
        <v>396</v>
      </c>
      <c r="Y141" s="118">
        <v>20</v>
      </c>
      <c r="Z141" s="62"/>
      <c r="AA141" s="84"/>
      <c r="AB141" s="68"/>
      <c r="AC141" s="118"/>
      <c r="AD141" s="250"/>
      <c r="AE141" s="251"/>
      <c r="AF141" s="31" t="s">
        <v>398</v>
      </c>
      <c r="AG141" s="81"/>
      <c r="AH141" s="81"/>
      <c r="AI141" s="81"/>
      <c r="AJ141" s="81"/>
      <c r="AK141" s="81"/>
    </row>
    <row r="142" spans="1:37" s="19" customFormat="1" ht="21.75" customHeight="1">
      <c r="A142" s="262"/>
      <c r="B142" s="263"/>
      <c r="C142" s="258"/>
      <c r="D142" s="258"/>
      <c r="E142" s="258"/>
      <c r="F142" s="258"/>
      <c r="G142" s="258"/>
      <c r="H142" s="250"/>
      <c r="I142" s="256"/>
      <c r="J142" s="250"/>
      <c r="K142" s="250"/>
      <c r="L142" s="258"/>
      <c r="M142" s="272"/>
      <c r="N142" s="250"/>
      <c r="O142" s="250"/>
      <c r="P142" s="250"/>
      <c r="Q142" s="250"/>
      <c r="R142" s="250"/>
      <c r="S142" s="250"/>
      <c r="T142" s="250"/>
      <c r="U142" s="67" t="s">
        <v>421</v>
      </c>
      <c r="V142" s="126"/>
      <c r="W142" s="126"/>
      <c r="X142" s="117" t="s">
        <v>396</v>
      </c>
      <c r="Y142" s="118">
        <v>11</v>
      </c>
      <c r="Z142" s="62">
        <v>200000</v>
      </c>
      <c r="AA142" s="84"/>
      <c r="AB142" s="68">
        <v>1</v>
      </c>
      <c r="AC142" s="118">
        <f>Y142*Z142*AB142</f>
        <v>2200000</v>
      </c>
      <c r="AD142" s="250"/>
      <c r="AE142" s="251"/>
      <c r="AF142" s="31"/>
      <c r="AG142" s="81"/>
      <c r="AH142" s="81"/>
      <c r="AI142" s="81"/>
      <c r="AJ142" s="81"/>
      <c r="AK142" s="81"/>
    </row>
    <row r="143" spans="1:37" s="19" customFormat="1" ht="21.75" customHeight="1">
      <c r="A143" s="262"/>
      <c r="B143" s="263"/>
      <c r="C143" s="258"/>
      <c r="D143" s="258"/>
      <c r="E143" s="258"/>
      <c r="F143" s="258"/>
      <c r="G143" s="258"/>
      <c r="H143" s="250"/>
      <c r="I143" s="256"/>
      <c r="J143" s="250"/>
      <c r="K143" s="250"/>
      <c r="L143" s="258"/>
      <c r="M143" s="272"/>
      <c r="N143" s="250"/>
      <c r="O143" s="250"/>
      <c r="P143" s="250"/>
      <c r="Q143" s="250"/>
      <c r="R143" s="250"/>
      <c r="S143" s="250"/>
      <c r="T143" s="250"/>
      <c r="U143" s="67" t="s">
        <v>423</v>
      </c>
      <c r="V143" s="126"/>
      <c r="W143" s="126">
        <f>0.3*W141</f>
        <v>3.375</v>
      </c>
      <c r="X143" s="117" t="s">
        <v>396</v>
      </c>
      <c r="Y143" s="118">
        <v>3</v>
      </c>
      <c r="Z143" s="62">
        <v>200000</v>
      </c>
      <c r="AA143" s="79"/>
      <c r="AB143" s="80">
        <v>0.5</v>
      </c>
      <c r="AC143" s="118">
        <f t="shared" ref="AC143:AC144" si="21">Y143*Z143*AB143</f>
        <v>300000</v>
      </c>
      <c r="AD143" s="250"/>
      <c r="AE143" s="251"/>
      <c r="AF143" s="31"/>
      <c r="AG143" s="81"/>
      <c r="AH143" s="81"/>
      <c r="AI143" s="81"/>
      <c r="AJ143" s="81"/>
      <c r="AK143" s="81"/>
    </row>
    <row r="144" spans="1:37" s="19" customFormat="1" ht="21.75" customHeight="1">
      <c r="A144" s="262"/>
      <c r="B144" s="263"/>
      <c r="C144" s="258"/>
      <c r="D144" s="258"/>
      <c r="E144" s="258"/>
      <c r="F144" s="258"/>
      <c r="G144" s="258"/>
      <c r="H144" s="250"/>
      <c r="I144" s="256"/>
      <c r="J144" s="250"/>
      <c r="K144" s="250"/>
      <c r="L144" s="258"/>
      <c r="M144" s="272"/>
      <c r="N144" s="250"/>
      <c r="O144" s="250"/>
      <c r="P144" s="250"/>
      <c r="Q144" s="250"/>
      <c r="R144" s="250"/>
      <c r="S144" s="250"/>
      <c r="T144" s="250"/>
      <c r="U144" s="67" t="s">
        <v>424</v>
      </c>
      <c r="V144" s="126"/>
      <c r="W144" s="126"/>
      <c r="X144" s="117" t="s">
        <v>396</v>
      </c>
      <c r="Y144" s="118">
        <f>Y142-Y143</f>
        <v>8</v>
      </c>
      <c r="Z144" s="62">
        <v>200000</v>
      </c>
      <c r="AA144" s="79"/>
      <c r="AB144" s="80">
        <v>0</v>
      </c>
      <c r="AC144" s="118">
        <f t="shared" si="21"/>
        <v>0</v>
      </c>
      <c r="AD144" s="250"/>
      <c r="AE144" s="251"/>
      <c r="AF144" s="31"/>
      <c r="AG144" s="81"/>
      <c r="AH144" s="81"/>
      <c r="AI144" s="81"/>
      <c r="AJ144" s="81"/>
      <c r="AK144" s="81"/>
    </row>
    <row r="145" spans="1:37" s="19" customFormat="1" ht="34.5" customHeight="1">
      <c r="A145" s="262"/>
      <c r="B145" s="263"/>
      <c r="C145" s="258"/>
      <c r="D145" s="258"/>
      <c r="E145" s="258"/>
      <c r="F145" s="258"/>
      <c r="G145" s="258"/>
      <c r="H145" s="250"/>
      <c r="I145" s="256"/>
      <c r="J145" s="250"/>
      <c r="K145" s="250"/>
      <c r="L145" s="258"/>
      <c r="M145" s="272"/>
      <c r="N145" s="250"/>
      <c r="O145" s="250"/>
      <c r="P145" s="250"/>
      <c r="Q145" s="250"/>
      <c r="R145" s="250"/>
      <c r="S145" s="250"/>
      <c r="T145" s="250"/>
      <c r="U145" s="65" t="s">
        <v>450</v>
      </c>
      <c r="V145" s="126"/>
      <c r="W145" s="126"/>
      <c r="X145" s="117" t="s">
        <v>396</v>
      </c>
      <c r="Y145" s="118">
        <v>5</v>
      </c>
      <c r="Z145" s="62"/>
      <c r="AA145" s="84"/>
      <c r="AB145" s="68"/>
      <c r="AC145" s="118"/>
      <c r="AD145" s="250"/>
      <c r="AE145" s="251"/>
      <c r="AF145" s="31"/>
      <c r="AG145" s="81"/>
      <c r="AH145" s="81"/>
      <c r="AI145" s="81"/>
      <c r="AJ145" s="81"/>
      <c r="AK145" s="81"/>
    </row>
    <row r="146" spans="1:37" s="19" customFormat="1" ht="21.75" customHeight="1">
      <c r="A146" s="262"/>
      <c r="B146" s="263"/>
      <c r="C146" s="258"/>
      <c r="D146" s="258"/>
      <c r="E146" s="258"/>
      <c r="F146" s="258"/>
      <c r="G146" s="258"/>
      <c r="H146" s="250"/>
      <c r="I146" s="256"/>
      <c r="J146" s="250"/>
      <c r="K146" s="250"/>
      <c r="L146" s="258"/>
      <c r="M146" s="272"/>
      <c r="N146" s="250"/>
      <c r="O146" s="250"/>
      <c r="P146" s="250"/>
      <c r="Q146" s="250"/>
      <c r="R146" s="250"/>
      <c r="S146" s="250"/>
      <c r="T146" s="250"/>
      <c r="U146" s="67" t="s">
        <v>486</v>
      </c>
      <c r="V146" s="126"/>
      <c r="W146" s="126"/>
      <c r="X146" s="117" t="s">
        <v>396</v>
      </c>
      <c r="Y146" s="118">
        <v>5</v>
      </c>
      <c r="Z146" s="62">
        <v>150000</v>
      </c>
      <c r="AA146" s="84"/>
      <c r="AB146" s="68">
        <v>0</v>
      </c>
      <c r="AC146" s="118">
        <f>Y146*Z146*AB146</f>
        <v>0</v>
      </c>
      <c r="AD146" s="250"/>
      <c r="AE146" s="251"/>
      <c r="AF146" s="31"/>
      <c r="AG146" s="81"/>
      <c r="AH146" s="81"/>
      <c r="AI146" s="81"/>
      <c r="AJ146" s="81"/>
      <c r="AK146" s="81"/>
    </row>
    <row r="147" spans="1:37" s="19" customFormat="1" ht="20.25" customHeight="1">
      <c r="A147" s="262">
        <v>18</v>
      </c>
      <c r="B147" s="263" t="s">
        <v>549</v>
      </c>
      <c r="C147" s="258" t="s">
        <v>33</v>
      </c>
      <c r="D147" s="258">
        <v>64</v>
      </c>
      <c r="E147" s="258">
        <v>494</v>
      </c>
      <c r="F147" s="258">
        <v>648.1</v>
      </c>
      <c r="G147" s="258" t="s">
        <v>28</v>
      </c>
      <c r="H147" s="250">
        <v>648</v>
      </c>
      <c r="I147" s="256">
        <f>F147-H147</f>
        <v>0.10000000000002274</v>
      </c>
      <c r="J147" s="250">
        <v>648</v>
      </c>
      <c r="K147" s="250">
        <v>720</v>
      </c>
      <c r="L147" s="258"/>
      <c r="M147" s="272">
        <f>J147/K147*100</f>
        <v>90</v>
      </c>
      <c r="N147" s="250">
        <v>12</v>
      </c>
      <c r="O147" s="250">
        <v>3</v>
      </c>
      <c r="P147" s="250">
        <v>80000</v>
      </c>
      <c r="Q147" s="250">
        <f>P147*J147</f>
        <v>51840000</v>
      </c>
      <c r="R147" s="250">
        <f>Q147*3</f>
        <v>155520000</v>
      </c>
      <c r="S147" s="250">
        <f>N147*O147*17000*30</f>
        <v>18360000</v>
      </c>
      <c r="T147" s="250">
        <f>SUM(Q147:S153)</f>
        <v>225720000</v>
      </c>
      <c r="U147" s="82" t="s">
        <v>446</v>
      </c>
      <c r="V147" s="126"/>
      <c r="W147" s="126"/>
      <c r="X147" s="117" t="s">
        <v>0</v>
      </c>
      <c r="Y147" s="83">
        <v>486</v>
      </c>
      <c r="Z147" s="62">
        <v>180000</v>
      </c>
      <c r="AA147" s="84"/>
      <c r="AB147" s="68">
        <v>1</v>
      </c>
      <c r="AC147" s="118">
        <f>Y147*Z147*AB147</f>
        <v>87480000</v>
      </c>
      <c r="AD147" s="250">
        <f>SUM(AC147:AC153)</f>
        <v>96680000</v>
      </c>
      <c r="AE147" s="251">
        <f>T147+AD147</f>
        <v>322400000</v>
      </c>
      <c r="AF147" s="31"/>
      <c r="AG147" s="81"/>
      <c r="AH147" s="81"/>
      <c r="AI147" s="81"/>
      <c r="AJ147" s="81"/>
      <c r="AK147" s="81"/>
    </row>
    <row r="148" spans="1:37" s="19" customFormat="1" ht="36" customHeight="1">
      <c r="A148" s="262"/>
      <c r="B148" s="263"/>
      <c r="C148" s="258"/>
      <c r="D148" s="258"/>
      <c r="E148" s="258"/>
      <c r="F148" s="258"/>
      <c r="G148" s="258"/>
      <c r="H148" s="250"/>
      <c r="I148" s="256"/>
      <c r="J148" s="250"/>
      <c r="K148" s="250"/>
      <c r="L148" s="258"/>
      <c r="M148" s="272"/>
      <c r="N148" s="250"/>
      <c r="O148" s="250"/>
      <c r="P148" s="250"/>
      <c r="Q148" s="250"/>
      <c r="R148" s="250"/>
      <c r="S148" s="250"/>
      <c r="T148" s="250"/>
      <c r="U148" s="65" t="s">
        <v>449</v>
      </c>
      <c r="V148" s="126">
        <v>4</v>
      </c>
      <c r="W148" s="126">
        <f>(J147-Y147)/V148</f>
        <v>40.5</v>
      </c>
      <c r="X148" s="117" t="s">
        <v>396</v>
      </c>
      <c r="Y148" s="118">
        <v>45</v>
      </c>
      <c r="Z148" s="62"/>
      <c r="AA148" s="84"/>
      <c r="AB148" s="68"/>
      <c r="AC148" s="118"/>
      <c r="AD148" s="250"/>
      <c r="AE148" s="251"/>
      <c r="AF148" s="31" t="s">
        <v>398</v>
      </c>
      <c r="AG148" s="81"/>
      <c r="AH148" s="81"/>
      <c r="AI148" s="81"/>
      <c r="AJ148" s="81"/>
      <c r="AK148" s="81"/>
    </row>
    <row r="149" spans="1:37" s="19" customFormat="1" ht="26.25" customHeight="1">
      <c r="A149" s="262"/>
      <c r="B149" s="263"/>
      <c r="C149" s="258"/>
      <c r="D149" s="258"/>
      <c r="E149" s="258"/>
      <c r="F149" s="258"/>
      <c r="G149" s="258"/>
      <c r="H149" s="250"/>
      <c r="I149" s="256"/>
      <c r="J149" s="250"/>
      <c r="K149" s="250"/>
      <c r="L149" s="258"/>
      <c r="M149" s="272"/>
      <c r="N149" s="250"/>
      <c r="O149" s="250"/>
      <c r="P149" s="250"/>
      <c r="Q149" s="250"/>
      <c r="R149" s="250"/>
      <c r="S149" s="250"/>
      <c r="T149" s="250"/>
      <c r="U149" s="67" t="s">
        <v>421</v>
      </c>
      <c r="V149" s="126"/>
      <c r="W149" s="126"/>
      <c r="X149" s="117" t="s">
        <v>396</v>
      </c>
      <c r="Y149" s="118">
        <v>41</v>
      </c>
      <c r="Z149" s="62">
        <v>200000</v>
      </c>
      <c r="AA149" s="84"/>
      <c r="AB149" s="68">
        <v>1</v>
      </c>
      <c r="AC149" s="118">
        <f>Y149*Z149*AB149</f>
        <v>8200000</v>
      </c>
      <c r="AD149" s="250"/>
      <c r="AE149" s="251"/>
      <c r="AF149" s="31"/>
      <c r="AG149" s="81"/>
      <c r="AH149" s="81"/>
      <c r="AI149" s="81"/>
      <c r="AJ149" s="81"/>
      <c r="AK149" s="81"/>
    </row>
    <row r="150" spans="1:37" s="19" customFormat="1" ht="26.25" customHeight="1">
      <c r="A150" s="262"/>
      <c r="B150" s="263"/>
      <c r="C150" s="258"/>
      <c r="D150" s="258"/>
      <c r="E150" s="258"/>
      <c r="F150" s="258"/>
      <c r="G150" s="258"/>
      <c r="H150" s="250"/>
      <c r="I150" s="256"/>
      <c r="J150" s="250"/>
      <c r="K150" s="250"/>
      <c r="L150" s="258"/>
      <c r="M150" s="272"/>
      <c r="N150" s="250"/>
      <c r="O150" s="250"/>
      <c r="P150" s="250"/>
      <c r="Q150" s="250"/>
      <c r="R150" s="250"/>
      <c r="S150" s="250"/>
      <c r="T150" s="250"/>
      <c r="U150" s="67" t="s">
        <v>423</v>
      </c>
      <c r="V150" s="126"/>
      <c r="W150" s="126">
        <f>0.3*W148</f>
        <v>12.15</v>
      </c>
      <c r="X150" s="117" t="s">
        <v>396</v>
      </c>
      <c r="Y150" s="118">
        <v>4</v>
      </c>
      <c r="Z150" s="62">
        <v>200000</v>
      </c>
      <c r="AA150" s="79"/>
      <c r="AB150" s="80">
        <v>0.5</v>
      </c>
      <c r="AC150" s="118">
        <f t="shared" ref="AC150" si="22">Y150*Z150*AB150</f>
        <v>400000</v>
      </c>
      <c r="AD150" s="250"/>
      <c r="AE150" s="251"/>
      <c r="AF150" s="31"/>
      <c r="AG150" s="102"/>
      <c r="AH150" s="81"/>
      <c r="AI150" s="81"/>
      <c r="AJ150" s="81"/>
      <c r="AK150" s="81"/>
    </row>
    <row r="151" spans="1:37" s="19" customFormat="1" ht="30.75" customHeight="1">
      <c r="A151" s="262"/>
      <c r="B151" s="263"/>
      <c r="C151" s="258"/>
      <c r="D151" s="258"/>
      <c r="E151" s="258"/>
      <c r="F151" s="258"/>
      <c r="G151" s="258"/>
      <c r="H151" s="250"/>
      <c r="I151" s="256"/>
      <c r="J151" s="250"/>
      <c r="K151" s="250"/>
      <c r="L151" s="258"/>
      <c r="M151" s="272"/>
      <c r="N151" s="250"/>
      <c r="O151" s="250"/>
      <c r="P151" s="250"/>
      <c r="Q151" s="250"/>
      <c r="R151" s="250"/>
      <c r="S151" s="250"/>
      <c r="T151" s="250"/>
      <c r="U151" s="65" t="s">
        <v>450</v>
      </c>
      <c r="V151" s="126"/>
      <c r="W151" s="126"/>
      <c r="X151" s="117" t="s">
        <v>396</v>
      </c>
      <c r="Y151" s="118">
        <v>20</v>
      </c>
      <c r="Z151" s="62"/>
      <c r="AA151" s="84"/>
      <c r="AB151" s="68"/>
      <c r="AC151" s="118"/>
      <c r="AD151" s="250"/>
      <c r="AE151" s="251"/>
      <c r="AF151" s="31"/>
      <c r="AG151" s="81"/>
      <c r="AH151" s="81"/>
      <c r="AI151" s="81"/>
      <c r="AJ151" s="81"/>
      <c r="AK151" s="81"/>
    </row>
    <row r="152" spans="1:37" s="19" customFormat="1" ht="30.75" customHeight="1">
      <c r="A152" s="262"/>
      <c r="B152" s="263"/>
      <c r="C152" s="258"/>
      <c r="D152" s="258"/>
      <c r="E152" s="258"/>
      <c r="F152" s="258"/>
      <c r="G152" s="258"/>
      <c r="H152" s="250"/>
      <c r="I152" s="256"/>
      <c r="J152" s="250"/>
      <c r="K152" s="250"/>
      <c r="L152" s="258"/>
      <c r="M152" s="272"/>
      <c r="N152" s="250"/>
      <c r="O152" s="250"/>
      <c r="P152" s="250"/>
      <c r="Q152" s="250"/>
      <c r="R152" s="250"/>
      <c r="S152" s="250"/>
      <c r="T152" s="250"/>
      <c r="U152" s="67" t="s">
        <v>423</v>
      </c>
      <c r="V152" s="126"/>
      <c r="W152" s="126"/>
      <c r="X152" s="117" t="s">
        <v>396</v>
      </c>
      <c r="Y152" s="118">
        <v>8</v>
      </c>
      <c r="Z152" s="62">
        <v>150000</v>
      </c>
      <c r="AA152" s="79"/>
      <c r="AB152" s="80">
        <v>0.5</v>
      </c>
      <c r="AC152" s="118">
        <f t="shared" ref="AC152:AC154" si="23">Y152*Z152*AB152</f>
        <v>600000</v>
      </c>
      <c r="AD152" s="250"/>
      <c r="AE152" s="251"/>
      <c r="AF152" s="31"/>
      <c r="AG152" s="81"/>
      <c r="AH152" s="81"/>
      <c r="AI152" s="81"/>
      <c r="AJ152" s="81"/>
      <c r="AK152" s="81"/>
    </row>
    <row r="153" spans="1:37" s="19" customFormat="1" ht="21.75" customHeight="1">
      <c r="A153" s="262"/>
      <c r="B153" s="263"/>
      <c r="C153" s="258"/>
      <c r="D153" s="258"/>
      <c r="E153" s="258"/>
      <c r="F153" s="258"/>
      <c r="G153" s="258"/>
      <c r="H153" s="250"/>
      <c r="I153" s="256"/>
      <c r="J153" s="250"/>
      <c r="K153" s="250"/>
      <c r="L153" s="258"/>
      <c r="M153" s="272"/>
      <c r="N153" s="250"/>
      <c r="O153" s="250"/>
      <c r="P153" s="250"/>
      <c r="Q153" s="250"/>
      <c r="R153" s="250"/>
      <c r="S153" s="250"/>
      <c r="T153" s="250"/>
      <c r="U153" s="67" t="s">
        <v>424</v>
      </c>
      <c r="V153" s="126"/>
      <c r="W153" s="126"/>
      <c r="X153" s="117" t="s">
        <v>396</v>
      </c>
      <c r="Y153" s="118">
        <f>Y151-Y152</f>
        <v>12</v>
      </c>
      <c r="Z153" s="62">
        <v>150000</v>
      </c>
      <c r="AA153" s="79"/>
      <c r="AB153" s="80">
        <v>0</v>
      </c>
      <c r="AC153" s="118">
        <f t="shared" si="23"/>
        <v>0</v>
      </c>
      <c r="AD153" s="250"/>
      <c r="AE153" s="251"/>
      <c r="AF153" s="31"/>
      <c r="AG153" s="81"/>
      <c r="AH153" s="81"/>
      <c r="AI153" s="81"/>
      <c r="AJ153" s="81"/>
      <c r="AK153" s="81"/>
    </row>
    <row r="154" spans="1:37" s="19" customFormat="1" ht="26.25" customHeight="1">
      <c r="A154" s="262">
        <v>19</v>
      </c>
      <c r="B154" s="263" t="s">
        <v>550</v>
      </c>
      <c r="C154" s="258" t="s">
        <v>33</v>
      </c>
      <c r="D154" s="258">
        <v>64</v>
      </c>
      <c r="E154" s="258">
        <v>493</v>
      </c>
      <c r="F154" s="258">
        <v>469.7</v>
      </c>
      <c r="G154" s="258" t="s">
        <v>28</v>
      </c>
      <c r="H154" s="250">
        <v>468</v>
      </c>
      <c r="I154" s="256">
        <f>F154-H154</f>
        <v>1.6999999999999886</v>
      </c>
      <c r="J154" s="250">
        <v>468</v>
      </c>
      <c r="K154" s="250">
        <v>720</v>
      </c>
      <c r="L154" s="258"/>
      <c r="M154" s="272">
        <f>J154/K154*100</f>
        <v>65</v>
      </c>
      <c r="N154" s="250">
        <v>6</v>
      </c>
      <c r="O154" s="250">
        <v>2</v>
      </c>
      <c r="P154" s="250">
        <v>80000</v>
      </c>
      <c r="Q154" s="250">
        <f>P154*J154</f>
        <v>37440000</v>
      </c>
      <c r="R154" s="250">
        <f>Q154*3</f>
        <v>112320000</v>
      </c>
      <c r="S154" s="250">
        <f>N154*O154*17000*30</f>
        <v>6120000</v>
      </c>
      <c r="T154" s="250">
        <f>SUM(Q154:S160)</f>
        <v>155880000</v>
      </c>
      <c r="U154" s="82" t="s">
        <v>446</v>
      </c>
      <c r="V154" s="126"/>
      <c r="W154" s="126"/>
      <c r="X154" s="117" t="s">
        <v>0</v>
      </c>
      <c r="Y154" s="83">
        <v>351</v>
      </c>
      <c r="Z154" s="62">
        <v>180000</v>
      </c>
      <c r="AA154" s="84"/>
      <c r="AB154" s="68">
        <v>1</v>
      </c>
      <c r="AC154" s="118">
        <f t="shared" si="23"/>
        <v>63180000</v>
      </c>
      <c r="AD154" s="250">
        <f>SUM(AC154:AC160)</f>
        <v>69880000</v>
      </c>
      <c r="AE154" s="251">
        <f>T154+AD154</f>
        <v>225760000</v>
      </c>
      <c r="AF154" s="31"/>
      <c r="AG154" s="81"/>
      <c r="AH154" s="81"/>
      <c r="AI154" s="81"/>
      <c r="AJ154" s="81"/>
      <c r="AK154" s="81"/>
    </row>
    <row r="155" spans="1:37" s="19" customFormat="1" ht="36" customHeight="1">
      <c r="A155" s="262"/>
      <c r="B155" s="263"/>
      <c r="C155" s="258"/>
      <c r="D155" s="258"/>
      <c r="E155" s="258"/>
      <c r="F155" s="258"/>
      <c r="G155" s="258"/>
      <c r="H155" s="250"/>
      <c r="I155" s="256"/>
      <c r="J155" s="250"/>
      <c r="K155" s="250"/>
      <c r="L155" s="258"/>
      <c r="M155" s="272"/>
      <c r="N155" s="250"/>
      <c r="O155" s="250"/>
      <c r="P155" s="250"/>
      <c r="Q155" s="250"/>
      <c r="R155" s="250"/>
      <c r="S155" s="250"/>
      <c r="T155" s="250"/>
      <c r="U155" s="65" t="s">
        <v>449</v>
      </c>
      <c r="V155" s="126">
        <v>4</v>
      </c>
      <c r="W155" s="126">
        <f>(J154-Y154)/V155</f>
        <v>29.25</v>
      </c>
      <c r="X155" s="117" t="s">
        <v>396</v>
      </c>
      <c r="Y155" s="118">
        <v>45</v>
      </c>
      <c r="Z155" s="62"/>
      <c r="AA155" s="84"/>
      <c r="AB155" s="68"/>
      <c r="AC155" s="118"/>
      <c r="AD155" s="250"/>
      <c r="AE155" s="251"/>
      <c r="AF155" s="31" t="s">
        <v>398</v>
      </c>
      <c r="AG155" s="81"/>
      <c r="AH155" s="81"/>
      <c r="AI155" s="81"/>
      <c r="AJ155" s="81"/>
      <c r="AK155" s="81"/>
    </row>
    <row r="156" spans="1:37" s="19" customFormat="1" ht="21.75" customHeight="1">
      <c r="A156" s="262"/>
      <c r="B156" s="263"/>
      <c r="C156" s="258"/>
      <c r="D156" s="258"/>
      <c r="E156" s="258"/>
      <c r="F156" s="258"/>
      <c r="G156" s="258"/>
      <c r="H156" s="250"/>
      <c r="I156" s="256"/>
      <c r="J156" s="250"/>
      <c r="K156" s="250"/>
      <c r="L156" s="258"/>
      <c r="M156" s="272"/>
      <c r="N156" s="250"/>
      <c r="O156" s="250"/>
      <c r="P156" s="250"/>
      <c r="Q156" s="250"/>
      <c r="R156" s="250"/>
      <c r="S156" s="250"/>
      <c r="T156" s="250"/>
      <c r="U156" s="67" t="s">
        <v>421</v>
      </c>
      <c r="V156" s="126"/>
      <c r="W156" s="126"/>
      <c r="X156" s="117" t="s">
        <v>396</v>
      </c>
      <c r="Y156" s="118">
        <v>29</v>
      </c>
      <c r="Z156" s="62">
        <v>200000</v>
      </c>
      <c r="AA156" s="84"/>
      <c r="AB156" s="68">
        <v>1</v>
      </c>
      <c r="AC156" s="118">
        <f>Y156*Z156*AB156</f>
        <v>5800000</v>
      </c>
      <c r="AD156" s="250"/>
      <c r="AE156" s="251"/>
      <c r="AF156" s="31"/>
      <c r="AG156" s="81"/>
      <c r="AH156" s="81"/>
      <c r="AI156" s="81"/>
      <c r="AJ156" s="81"/>
      <c r="AK156" s="81"/>
    </row>
    <row r="157" spans="1:37" s="19" customFormat="1" ht="21.75" customHeight="1">
      <c r="A157" s="262"/>
      <c r="B157" s="263"/>
      <c r="C157" s="258"/>
      <c r="D157" s="258"/>
      <c r="E157" s="258"/>
      <c r="F157" s="258"/>
      <c r="G157" s="258"/>
      <c r="H157" s="250"/>
      <c r="I157" s="256"/>
      <c r="J157" s="250"/>
      <c r="K157" s="250"/>
      <c r="L157" s="258"/>
      <c r="M157" s="272"/>
      <c r="N157" s="250"/>
      <c r="O157" s="250"/>
      <c r="P157" s="250"/>
      <c r="Q157" s="250"/>
      <c r="R157" s="250"/>
      <c r="S157" s="250"/>
      <c r="T157" s="250"/>
      <c r="U157" s="67" t="s">
        <v>423</v>
      </c>
      <c r="V157" s="126"/>
      <c r="W157" s="126">
        <f>0.3*W155</f>
        <v>8.7750000000000004</v>
      </c>
      <c r="X157" s="117" t="s">
        <v>396</v>
      </c>
      <c r="Y157" s="118">
        <v>9</v>
      </c>
      <c r="Z157" s="62">
        <v>200000</v>
      </c>
      <c r="AA157" s="79"/>
      <c r="AB157" s="80">
        <v>0.5</v>
      </c>
      <c r="AC157" s="118">
        <f t="shared" ref="AC157:AC158" si="24">Y157*Z157*AB157</f>
        <v>900000</v>
      </c>
      <c r="AD157" s="250"/>
      <c r="AE157" s="251"/>
      <c r="AF157" s="31"/>
      <c r="AG157" s="81"/>
      <c r="AH157" s="81"/>
      <c r="AI157" s="81"/>
      <c r="AJ157" s="81"/>
      <c r="AK157" s="81"/>
    </row>
    <row r="158" spans="1:37" s="19" customFormat="1" ht="21.75" customHeight="1">
      <c r="A158" s="262"/>
      <c r="B158" s="263"/>
      <c r="C158" s="258"/>
      <c r="D158" s="258"/>
      <c r="E158" s="258"/>
      <c r="F158" s="258"/>
      <c r="G158" s="258"/>
      <c r="H158" s="250"/>
      <c r="I158" s="256"/>
      <c r="J158" s="250"/>
      <c r="K158" s="250"/>
      <c r="L158" s="258"/>
      <c r="M158" s="272"/>
      <c r="N158" s="250"/>
      <c r="O158" s="250"/>
      <c r="P158" s="250"/>
      <c r="Q158" s="250"/>
      <c r="R158" s="250"/>
      <c r="S158" s="250"/>
      <c r="T158" s="250"/>
      <c r="U158" s="67" t="s">
        <v>424</v>
      </c>
      <c r="V158" s="126"/>
      <c r="W158" s="126"/>
      <c r="X158" s="117" t="s">
        <v>396</v>
      </c>
      <c r="Y158" s="118">
        <f>Y156-Y157</f>
        <v>20</v>
      </c>
      <c r="Z158" s="62">
        <v>200000</v>
      </c>
      <c r="AA158" s="79"/>
      <c r="AB158" s="80">
        <v>0</v>
      </c>
      <c r="AC158" s="118">
        <f t="shared" si="24"/>
        <v>0</v>
      </c>
      <c r="AD158" s="250"/>
      <c r="AE158" s="251"/>
      <c r="AF158" s="31"/>
      <c r="AG158" s="81"/>
      <c r="AH158" s="81"/>
      <c r="AI158" s="81"/>
      <c r="AJ158" s="81"/>
      <c r="AK158" s="81"/>
    </row>
    <row r="159" spans="1:37" s="19" customFormat="1" ht="30.75" customHeight="1">
      <c r="A159" s="262"/>
      <c r="B159" s="263"/>
      <c r="C159" s="258"/>
      <c r="D159" s="258"/>
      <c r="E159" s="258"/>
      <c r="F159" s="258"/>
      <c r="G159" s="258"/>
      <c r="H159" s="250"/>
      <c r="I159" s="256"/>
      <c r="J159" s="250"/>
      <c r="K159" s="250"/>
      <c r="L159" s="258"/>
      <c r="M159" s="272"/>
      <c r="N159" s="250"/>
      <c r="O159" s="250"/>
      <c r="P159" s="250"/>
      <c r="Q159" s="250"/>
      <c r="R159" s="250"/>
      <c r="S159" s="250"/>
      <c r="T159" s="250"/>
      <c r="U159" s="65" t="s">
        <v>450</v>
      </c>
      <c r="V159" s="126"/>
      <c r="W159" s="126"/>
      <c r="X159" s="117" t="s">
        <v>396</v>
      </c>
      <c r="Y159" s="118">
        <v>30</v>
      </c>
      <c r="Z159" s="62"/>
      <c r="AA159" s="84"/>
      <c r="AB159" s="68"/>
      <c r="AC159" s="118"/>
      <c r="AD159" s="250"/>
      <c r="AE159" s="251"/>
      <c r="AF159" s="31"/>
      <c r="AG159" s="81"/>
      <c r="AH159" s="81"/>
      <c r="AI159" s="81"/>
      <c r="AJ159" s="81"/>
      <c r="AK159" s="81"/>
    </row>
    <row r="160" spans="1:37" s="19" customFormat="1" ht="21.75" customHeight="1">
      <c r="A160" s="262"/>
      <c r="B160" s="263"/>
      <c r="C160" s="258"/>
      <c r="D160" s="258"/>
      <c r="E160" s="258"/>
      <c r="F160" s="258"/>
      <c r="G160" s="258"/>
      <c r="H160" s="250"/>
      <c r="I160" s="256"/>
      <c r="J160" s="250"/>
      <c r="K160" s="250"/>
      <c r="L160" s="258"/>
      <c r="M160" s="272"/>
      <c r="N160" s="250"/>
      <c r="O160" s="250"/>
      <c r="P160" s="250"/>
      <c r="Q160" s="250"/>
      <c r="R160" s="250"/>
      <c r="S160" s="250"/>
      <c r="T160" s="250"/>
      <c r="U160" s="67" t="s">
        <v>424</v>
      </c>
      <c r="V160" s="126"/>
      <c r="W160" s="126"/>
      <c r="X160" s="117" t="s">
        <v>396</v>
      </c>
      <c r="Y160" s="118">
        <v>30</v>
      </c>
      <c r="Z160" s="62">
        <v>150000</v>
      </c>
      <c r="AA160" s="79"/>
      <c r="AB160" s="80">
        <v>0</v>
      </c>
      <c r="AC160" s="118">
        <f t="shared" ref="AC160:AC162" si="25">Y160*Z160*AB160</f>
        <v>0</v>
      </c>
      <c r="AD160" s="250"/>
      <c r="AE160" s="251"/>
      <c r="AF160" s="31"/>
      <c r="AG160" s="81"/>
      <c r="AH160" s="81"/>
      <c r="AI160" s="81"/>
      <c r="AJ160" s="81"/>
      <c r="AK160" s="81"/>
    </row>
    <row r="161" spans="1:37" s="19" customFormat="1" ht="28.5" customHeight="1">
      <c r="A161" s="262">
        <v>20</v>
      </c>
      <c r="B161" s="263" t="s">
        <v>636</v>
      </c>
      <c r="C161" s="258" t="s">
        <v>33</v>
      </c>
      <c r="D161" s="258">
        <v>64</v>
      </c>
      <c r="E161" s="258">
        <v>491</v>
      </c>
      <c r="F161" s="258">
        <v>1055.3</v>
      </c>
      <c r="G161" s="258" t="s">
        <v>28</v>
      </c>
      <c r="H161" s="256">
        <v>1055.7</v>
      </c>
      <c r="I161" s="256">
        <f>F161-H161</f>
        <v>-0.40000000000009095</v>
      </c>
      <c r="J161" s="256">
        <v>1055.7</v>
      </c>
      <c r="K161" s="250">
        <v>1800</v>
      </c>
      <c r="L161" s="258"/>
      <c r="M161" s="272">
        <f>J161/K161*100</f>
        <v>58.650000000000006</v>
      </c>
      <c r="N161" s="250">
        <v>6</v>
      </c>
      <c r="O161" s="250">
        <v>4</v>
      </c>
      <c r="P161" s="250">
        <v>80000</v>
      </c>
      <c r="Q161" s="250">
        <f>P161*J161</f>
        <v>84456000</v>
      </c>
      <c r="R161" s="250">
        <f>Q161*3</f>
        <v>253368000</v>
      </c>
      <c r="S161" s="250">
        <f>N161*O161*17000*30</f>
        <v>12240000</v>
      </c>
      <c r="T161" s="250">
        <f>SUM(Q161:S162)</f>
        <v>350064000</v>
      </c>
      <c r="U161" s="82" t="s">
        <v>446</v>
      </c>
      <c r="V161" s="126"/>
      <c r="W161" s="126"/>
      <c r="X161" s="117" t="s">
        <v>0</v>
      </c>
      <c r="Y161" s="83">
        <v>1055</v>
      </c>
      <c r="Z161" s="62">
        <v>180000</v>
      </c>
      <c r="AA161" s="84"/>
      <c r="AB161" s="68">
        <v>1</v>
      </c>
      <c r="AC161" s="118">
        <f t="shared" si="25"/>
        <v>189900000</v>
      </c>
      <c r="AD161" s="250">
        <f>SUM(AC161:AC162)</f>
        <v>189900000</v>
      </c>
      <c r="AE161" s="251">
        <f>T161+AD161</f>
        <v>539964000</v>
      </c>
      <c r="AF161" s="31"/>
      <c r="AG161" s="81"/>
      <c r="AH161" s="81"/>
      <c r="AI161" s="81"/>
      <c r="AJ161" s="81"/>
      <c r="AK161" s="81"/>
    </row>
    <row r="162" spans="1:37" s="19" customFormat="1" ht="28.5" customHeight="1">
      <c r="A162" s="262"/>
      <c r="B162" s="263"/>
      <c r="C162" s="258"/>
      <c r="D162" s="258"/>
      <c r="E162" s="258"/>
      <c r="F162" s="258"/>
      <c r="G162" s="258"/>
      <c r="H162" s="256"/>
      <c r="I162" s="256"/>
      <c r="J162" s="256"/>
      <c r="K162" s="250"/>
      <c r="L162" s="258"/>
      <c r="M162" s="272"/>
      <c r="N162" s="250"/>
      <c r="O162" s="250"/>
      <c r="P162" s="250"/>
      <c r="Q162" s="250"/>
      <c r="R162" s="250"/>
      <c r="S162" s="250"/>
      <c r="T162" s="250"/>
      <c r="U162" s="124" t="s">
        <v>504</v>
      </c>
      <c r="V162" s="126"/>
      <c r="W162" s="126"/>
      <c r="X162" s="117" t="s">
        <v>399</v>
      </c>
      <c r="Y162" s="114">
        <v>1</v>
      </c>
      <c r="Z162" s="62"/>
      <c r="AA162" s="84"/>
      <c r="AB162" s="80">
        <v>0</v>
      </c>
      <c r="AC162" s="118">
        <f t="shared" si="25"/>
        <v>0</v>
      </c>
      <c r="AD162" s="250"/>
      <c r="AE162" s="251"/>
      <c r="AF162" s="31"/>
      <c r="AG162" s="81"/>
      <c r="AH162" s="81"/>
      <c r="AI162" s="81"/>
      <c r="AJ162" s="81"/>
      <c r="AK162" s="81"/>
    </row>
    <row r="163" spans="1:37" s="19" customFormat="1" ht="24" customHeight="1">
      <c r="A163" s="262">
        <v>21</v>
      </c>
      <c r="B163" s="271" t="s">
        <v>615</v>
      </c>
      <c r="C163" s="258" t="s">
        <v>39</v>
      </c>
      <c r="D163" s="258">
        <v>64</v>
      </c>
      <c r="E163" s="258">
        <v>488</v>
      </c>
      <c r="F163" s="258">
        <v>288.10000000000002</v>
      </c>
      <c r="G163" s="258" t="s">
        <v>28</v>
      </c>
      <c r="H163" s="250">
        <v>288</v>
      </c>
      <c r="I163" s="256">
        <f>F163-H163</f>
        <v>0.10000000000002274</v>
      </c>
      <c r="J163" s="270">
        <f>H163+H166</f>
        <v>839.7</v>
      </c>
      <c r="K163" s="250">
        <v>1080</v>
      </c>
      <c r="L163" s="250"/>
      <c r="M163" s="256">
        <f>J163/K163*100</f>
        <v>77.750000000000014</v>
      </c>
      <c r="N163" s="250">
        <v>12</v>
      </c>
      <c r="O163" s="250">
        <v>6</v>
      </c>
      <c r="P163" s="250">
        <v>80000</v>
      </c>
      <c r="Q163" s="250">
        <f>P163*J163</f>
        <v>67176000</v>
      </c>
      <c r="R163" s="250">
        <f>Q163*3</f>
        <v>201528000</v>
      </c>
      <c r="S163" s="250">
        <f>N163*O163*17000*30</f>
        <v>36720000</v>
      </c>
      <c r="T163" s="250">
        <f>SUM(Q163:S166)</f>
        <v>305424000</v>
      </c>
      <c r="U163" s="82" t="s">
        <v>556</v>
      </c>
      <c r="V163" s="126"/>
      <c r="W163" s="126"/>
      <c r="X163" s="117" t="s">
        <v>0</v>
      </c>
      <c r="Y163" s="83">
        <v>180</v>
      </c>
      <c r="Z163" s="62">
        <v>200000</v>
      </c>
      <c r="AA163" s="84"/>
      <c r="AB163" s="68">
        <v>1</v>
      </c>
      <c r="AC163" s="118">
        <f>Y163*Z163*AB163</f>
        <v>36000000</v>
      </c>
      <c r="AD163" s="250">
        <f>SUM(AC163:AC165)</f>
        <v>37200000</v>
      </c>
      <c r="AE163" s="251">
        <f>T163+AD163+AD166</f>
        <v>429024000</v>
      </c>
      <c r="AF163" s="31"/>
      <c r="AG163" s="81"/>
      <c r="AH163" s="81"/>
      <c r="AI163" s="81"/>
      <c r="AJ163" s="81"/>
      <c r="AK163" s="81"/>
    </row>
    <row r="164" spans="1:37" s="19" customFormat="1" ht="37.5" customHeight="1">
      <c r="A164" s="262"/>
      <c r="B164" s="271"/>
      <c r="C164" s="258"/>
      <c r="D164" s="258"/>
      <c r="E164" s="258"/>
      <c r="F164" s="258"/>
      <c r="G164" s="258"/>
      <c r="H164" s="250"/>
      <c r="I164" s="256"/>
      <c r="J164" s="270"/>
      <c r="K164" s="250"/>
      <c r="L164" s="250"/>
      <c r="M164" s="256"/>
      <c r="N164" s="250"/>
      <c r="O164" s="250"/>
      <c r="P164" s="250"/>
      <c r="Q164" s="250"/>
      <c r="R164" s="250"/>
      <c r="S164" s="250"/>
      <c r="T164" s="250"/>
      <c r="U164" s="65" t="s">
        <v>637</v>
      </c>
      <c r="V164" s="126">
        <v>10</v>
      </c>
      <c r="W164" s="126">
        <f>(H163-Y163)/V164</f>
        <v>10.8</v>
      </c>
      <c r="X164" s="117" t="s">
        <v>2</v>
      </c>
      <c r="Y164" s="118">
        <v>5</v>
      </c>
      <c r="Z164" s="62"/>
      <c r="AA164" s="79"/>
      <c r="AB164" s="80"/>
      <c r="AC164" s="118"/>
      <c r="AD164" s="250"/>
      <c r="AE164" s="251"/>
      <c r="AF164" s="31"/>
      <c r="AG164" s="81"/>
      <c r="AH164" s="81"/>
      <c r="AI164" s="81"/>
      <c r="AJ164" s="81"/>
      <c r="AK164" s="81"/>
    </row>
    <row r="165" spans="1:37" s="19" customFormat="1" ht="22.5" customHeight="1">
      <c r="A165" s="262"/>
      <c r="B165" s="271"/>
      <c r="C165" s="258"/>
      <c r="D165" s="258"/>
      <c r="E165" s="258"/>
      <c r="F165" s="258"/>
      <c r="G165" s="258"/>
      <c r="H165" s="250"/>
      <c r="I165" s="256"/>
      <c r="J165" s="270"/>
      <c r="K165" s="250"/>
      <c r="L165" s="250"/>
      <c r="M165" s="256"/>
      <c r="N165" s="250"/>
      <c r="O165" s="250"/>
      <c r="P165" s="250"/>
      <c r="Q165" s="250"/>
      <c r="R165" s="250"/>
      <c r="S165" s="250"/>
      <c r="T165" s="250"/>
      <c r="U165" s="67" t="s">
        <v>421</v>
      </c>
      <c r="V165" s="126"/>
      <c r="W165" s="126"/>
      <c r="X165" s="117" t="s">
        <v>2</v>
      </c>
      <c r="Y165" s="118">
        <v>5</v>
      </c>
      <c r="Z165" s="62">
        <v>240000</v>
      </c>
      <c r="AA165" s="79"/>
      <c r="AB165" s="80">
        <v>1</v>
      </c>
      <c r="AC165" s="118">
        <f t="shared" ref="AC165:AC166" si="26">Y165*Z165*AB165</f>
        <v>1200000</v>
      </c>
      <c r="AD165" s="250"/>
      <c r="AE165" s="251"/>
      <c r="AF165" s="31"/>
      <c r="AG165" s="81"/>
      <c r="AH165" s="81"/>
      <c r="AI165" s="81"/>
      <c r="AJ165" s="81"/>
      <c r="AK165" s="81"/>
    </row>
    <row r="166" spans="1:37" s="19" customFormat="1" ht="40.5" customHeight="1">
      <c r="A166" s="262"/>
      <c r="B166" s="271"/>
      <c r="C166" s="119"/>
      <c r="D166" s="119">
        <v>64</v>
      </c>
      <c r="E166" s="119">
        <v>820</v>
      </c>
      <c r="F166" s="119">
        <v>551.20000000000005</v>
      </c>
      <c r="G166" s="119" t="s">
        <v>28</v>
      </c>
      <c r="H166" s="70">
        <v>551.70000000000005</v>
      </c>
      <c r="I166" s="127">
        <f>F166-H166</f>
        <v>-0.5</v>
      </c>
      <c r="J166" s="270"/>
      <c r="K166" s="250"/>
      <c r="L166" s="250"/>
      <c r="M166" s="256"/>
      <c r="N166" s="250"/>
      <c r="O166" s="250"/>
      <c r="P166" s="250"/>
      <c r="Q166" s="250"/>
      <c r="R166" s="250"/>
      <c r="S166" s="250"/>
      <c r="T166" s="250"/>
      <c r="U166" s="82" t="s">
        <v>556</v>
      </c>
      <c r="V166" s="126"/>
      <c r="W166" s="126"/>
      <c r="X166" s="117" t="s">
        <v>0</v>
      </c>
      <c r="Y166" s="83">
        <v>432</v>
      </c>
      <c r="Z166" s="62">
        <v>200000</v>
      </c>
      <c r="AA166" s="84"/>
      <c r="AB166" s="68">
        <v>1</v>
      </c>
      <c r="AC166" s="118">
        <f t="shared" si="26"/>
        <v>86400000</v>
      </c>
      <c r="AD166" s="118">
        <f>SUM(AC166:AC166)</f>
        <v>86400000</v>
      </c>
      <c r="AE166" s="251"/>
      <c r="AF166" s="31"/>
      <c r="AG166" s="81"/>
      <c r="AH166" s="81"/>
      <c r="AI166" s="81"/>
      <c r="AJ166" s="81"/>
      <c r="AK166" s="81"/>
    </row>
    <row r="167" spans="1:37" s="28" customFormat="1" ht="32.25" customHeight="1">
      <c r="A167" s="262">
        <v>22</v>
      </c>
      <c r="B167" s="263" t="s">
        <v>662</v>
      </c>
      <c r="C167" s="119"/>
      <c r="D167" s="258">
        <v>64</v>
      </c>
      <c r="E167" s="258">
        <v>594</v>
      </c>
      <c r="F167" s="258">
        <v>180.1</v>
      </c>
      <c r="G167" s="258" t="s">
        <v>28</v>
      </c>
      <c r="H167" s="250">
        <v>180</v>
      </c>
      <c r="I167" s="256">
        <f>F167-H167</f>
        <v>9.9999999999994316E-2</v>
      </c>
      <c r="J167" s="268">
        <v>180</v>
      </c>
      <c r="K167" s="268">
        <v>1800</v>
      </c>
      <c r="L167" s="119"/>
      <c r="M167" s="269">
        <f>J167/K167*100</f>
        <v>10</v>
      </c>
      <c r="N167" s="264">
        <v>3</v>
      </c>
      <c r="O167" s="264">
        <v>3</v>
      </c>
      <c r="P167" s="264">
        <v>80000</v>
      </c>
      <c r="Q167" s="264">
        <f>P167*J167</f>
        <v>14400000</v>
      </c>
      <c r="R167" s="264">
        <f>Q167*3</f>
        <v>43200000</v>
      </c>
      <c r="S167" s="264">
        <f>N167*O167*17000*30</f>
        <v>4590000</v>
      </c>
      <c r="T167" s="264">
        <f>SUM(Q167:S178)</f>
        <v>62190000</v>
      </c>
      <c r="U167" s="65" t="s">
        <v>663</v>
      </c>
      <c r="V167" s="50">
        <v>10</v>
      </c>
      <c r="W167" s="50">
        <f>(J167-37)/V167</f>
        <v>14.3</v>
      </c>
      <c r="X167" s="117" t="s">
        <v>2</v>
      </c>
      <c r="Y167" s="118">
        <v>30</v>
      </c>
      <c r="Z167" s="62"/>
      <c r="AA167" s="79"/>
      <c r="AB167" s="80"/>
      <c r="AC167" s="118">
        <f>Y167*Z167*AB167</f>
        <v>0</v>
      </c>
      <c r="AD167" s="250">
        <f>SUM(AC167:AC178)</f>
        <v>4836000</v>
      </c>
      <c r="AE167" s="251">
        <f>T167+AD167</f>
        <v>67026000</v>
      </c>
      <c r="AF167" s="103">
        <f>Y167*10</f>
        <v>300</v>
      </c>
      <c r="AG167" s="265" t="s">
        <v>664</v>
      </c>
      <c r="AH167" s="103" t="s">
        <v>398</v>
      </c>
      <c r="AI167" s="259" t="s">
        <v>665</v>
      </c>
      <c r="AJ167" s="253" t="s">
        <v>681</v>
      </c>
      <c r="AK167" s="103"/>
    </row>
    <row r="168" spans="1:37" s="28" customFormat="1" ht="19.5" customHeight="1">
      <c r="A168" s="262"/>
      <c r="B168" s="263"/>
      <c r="C168" s="119"/>
      <c r="D168" s="258"/>
      <c r="E168" s="258"/>
      <c r="F168" s="258"/>
      <c r="G168" s="258"/>
      <c r="H168" s="250"/>
      <c r="I168" s="256"/>
      <c r="J168" s="268"/>
      <c r="K168" s="268"/>
      <c r="L168" s="119"/>
      <c r="M168" s="269"/>
      <c r="N168" s="264"/>
      <c r="O168" s="264"/>
      <c r="P168" s="264"/>
      <c r="Q168" s="264"/>
      <c r="R168" s="264"/>
      <c r="S168" s="264"/>
      <c r="T168" s="264"/>
      <c r="U168" s="67" t="s">
        <v>421</v>
      </c>
      <c r="V168" s="50"/>
      <c r="W168" s="50"/>
      <c r="X168" s="117" t="s">
        <v>2</v>
      </c>
      <c r="Y168" s="118">
        <v>14</v>
      </c>
      <c r="Z168" s="62">
        <v>240000</v>
      </c>
      <c r="AA168" s="79"/>
      <c r="AB168" s="80">
        <v>1</v>
      </c>
      <c r="AC168" s="118">
        <f>Y168*Z168*AB168</f>
        <v>3360000</v>
      </c>
      <c r="AD168" s="250"/>
      <c r="AE168" s="251"/>
      <c r="AF168" s="103"/>
      <c r="AG168" s="266"/>
      <c r="AH168" s="103"/>
      <c r="AI168" s="260"/>
      <c r="AJ168" s="254"/>
      <c r="AK168" s="103"/>
    </row>
    <row r="169" spans="1:37" s="28" customFormat="1" ht="19.5" customHeight="1">
      <c r="A169" s="262"/>
      <c r="B169" s="263"/>
      <c r="C169" s="119"/>
      <c r="D169" s="258"/>
      <c r="E169" s="258"/>
      <c r="F169" s="258"/>
      <c r="G169" s="258"/>
      <c r="H169" s="250"/>
      <c r="I169" s="256"/>
      <c r="J169" s="268"/>
      <c r="K169" s="268"/>
      <c r="L169" s="119"/>
      <c r="M169" s="269"/>
      <c r="N169" s="264"/>
      <c r="O169" s="264"/>
      <c r="P169" s="264"/>
      <c r="Q169" s="264"/>
      <c r="R169" s="264"/>
      <c r="S169" s="264"/>
      <c r="T169" s="264"/>
      <c r="U169" s="67" t="s">
        <v>423</v>
      </c>
      <c r="V169" s="50"/>
      <c r="W169" s="50">
        <f>0.3*(40-14)</f>
        <v>7.8</v>
      </c>
      <c r="X169" s="117" t="s">
        <v>2</v>
      </c>
      <c r="Y169" s="118">
        <v>8</v>
      </c>
      <c r="Z169" s="62">
        <v>240000</v>
      </c>
      <c r="AA169" s="79"/>
      <c r="AB169" s="80">
        <v>0.3</v>
      </c>
      <c r="AC169" s="118">
        <f>Y169*Z169*AB169</f>
        <v>576000</v>
      </c>
      <c r="AD169" s="250"/>
      <c r="AE169" s="251"/>
      <c r="AF169" s="103"/>
      <c r="AG169" s="266"/>
      <c r="AH169" s="103"/>
      <c r="AI169" s="260"/>
      <c r="AJ169" s="254"/>
      <c r="AK169" s="103"/>
    </row>
    <row r="170" spans="1:37" s="28" customFormat="1" ht="19.5" customHeight="1">
      <c r="A170" s="262"/>
      <c r="B170" s="263"/>
      <c r="C170" s="119"/>
      <c r="D170" s="258"/>
      <c r="E170" s="258"/>
      <c r="F170" s="258"/>
      <c r="G170" s="258"/>
      <c r="H170" s="250"/>
      <c r="I170" s="256"/>
      <c r="J170" s="268"/>
      <c r="K170" s="268"/>
      <c r="L170" s="119"/>
      <c r="M170" s="269"/>
      <c r="N170" s="264"/>
      <c r="O170" s="264"/>
      <c r="P170" s="264"/>
      <c r="Q170" s="264"/>
      <c r="R170" s="264"/>
      <c r="S170" s="264"/>
      <c r="T170" s="264"/>
      <c r="U170" s="67" t="s">
        <v>424</v>
      </c>
      <c r="V170" s="50"/>
      <c r="W170" s="50"/>
      <c r="X170" s="117" t="s">
        <v>2</v>
      </c>
      <c r="Y170" s="118">
        <f>Y167-Y168-Y169</f>
        <v>8</v>
      </c>
      <c r="Z170" s="62">
        <v>240000</v>
      </c>
      <c r="AA170" s="79"/>
      <c r="AB170" s="80">
        <v>0</v>
      </c>
      <c r="AC170" s="118">
        <f t="shared" ref="AC170" si="27">Y170*Z170*AB170/100</f>
        <v>0</v>
      </c>
      <c r="AD170" s="250"/>
      <c r="AE170" s="251"/>
      <c r="AF170" s="103"/>
      <c r="AG170" s="266"/>
      <c r="AH170" s="103"/>
      <c r="AI170" s="260"/>
      <c r="AJ170" s="254"/>
      <c r="AK170" s="103"/>
    </row>
    <row r="171" spans="1:37" s="28" customFormat="1" ht="36.75" customHeight="1">
      <c r="A171" s="262"/>
      <c r="B171" s="263"/>
      <c r="C171" s="119"/>
      <c r="D171" s="258"/>
      <c r="E171" s="258"/>
      <c r="F171" s="258"/>
      <c r="G171" s="258"/>
      <c r="H171" s="250"/>
      <c r="I171" s="256"/>
      <c r="J171" s="268"/>
      <c r="K171" s="268"/>
      <c r="L171" s="119"/>
      <c r="M171" s="269"/>
      <c r="N171" s="264"/>
      <c r="O171" s="264"/>
      <c r="P171" s="264"/>
      <c r="Q171" s="264"/>
      <c r="R171" s="264"/>
      <c r="S171" s="264"/>
      <c r="T171" s="264"/>
      <c r="U171" s="65" t="s">
        <v>666</v>
      </c>
      <c r="V171" s="50"/>
      <c r="W171" s="50"/>
      <c r="X171" s="117" t="s">
        <v>2</v>
      </c>
      <c r="Y171" s="118">
        <v>10</v>
      </c>
      <c r="Z171" s="62"/>
      <c r="AA171" s="79"/>
      <c r="AB171" s="80"/>
      <c r="AC171" s="118">
        <f>Y171*Z171*AB171</f>
        <v>0</v>
      </c>
      <c r="AD171" s="250"/>
      <c r="AE171" s="251"/>
      <c r="AF171" s="103"/>
      <c r="AG171" s="266"/>
      <c r="AH171" s="103"/>
      <c r="AI171" s="260"/>
      <c r="AJ171" s="254"/>
      <c r="AK171" s="103"/>
    </row>
    <row r="172" spans="1:37" s="28" customFormat="1" ht="22.5" customHeight="1">
      <c r="A172" s="262"/>
      <c r="B172" s="263"/>
      <c r="C172" s="119"/>
      <c r="D172" s="258"/>
      <c r="E172" s="258"/>
      <c r="F172" s="258"/>
      <c r="G172" s="258"/>
      <c r="H172" s="250"/>
      <c r="I172" s="256"/>
      <c r="J172" s="268"/>
      <c r="K172" s="268"/>
      <c r="L172" s="119"/>
      <c r="M172" s="269"/>
      <c r="N172" s="264"/>
      <c r="O172" s="264"/>
      <c r="P172" s="264"/>
      <c r="Q172" s="264"/>
      <c r="R172" s="264"/>
      <c r="S172" s="264"/>
      <c r="T172" s="264"/>
      <c r="U172" s="67" t="s">
        <v>424</v>
      </c>
      <c r="V172" s="50"/>
      <c r="W172" s="50"/>
      <c r="X172" s="117" t="s">
        <v>2</v>
      </c>
      <c r="Y172" s="118">
        <v>10</v>
      </c>
      <c r="Z172" s="62">
        <v>95000</v>
      </c>
      <c r="AA172" s="79"/>
      <c r="AB172" s="80">
        <v>0</v>
      </c>
      <c r="AC172" s="118">
        <f>Y172*Z172*AB172</f>
        <v>0</v>
      </c>
      <c r="AD172" s="250"/>
      <c r="AE172" s="251"/>
      <c r="AF172" s="103"/>
      <c r="AG172" s="266"/>
      <c r="AH172" s="103"/>
      <c r="AI172" s="260"/>
      <c r="AJ172" s="254"/>
      <c r="AK172" s="103"/>
    </row>
    <row r="173" spans="1:37" s="28" customFormat="1" ht="32.25" customHeight="1">
      <c r="A173" s="262"/>
      <c r="B173" s="263"/>
      <c r="C173" s="119"/>
      <c r="D173" s="258"/>
      <c r="E173" s="258"/>
      <c r="F173" s="258"/>
      <c r="G173" s="258"/>
      <c r="H173" s="250"/>
      <c r="I173" s="256"/>
      <c r="J173" s="268"/>
      <c r="K173" s="268"/>
      <c r="L173" s="119"/>
      <c r="M173" s="269"/>
      <c r="N173" s="264"/>
      <c r="O173" s="264"/>
      <c r="P173" s="264"/>
      <c r="Q173" s="264"/>
      <c r="R173" s="264"/>
      <c r="S173" s="264"/>
      <c r="T173" s="264"/>
      <c r="U173" s="65" t="s">
        <v>667</v>
      </c>
      <c r="V173" s="50">
        <v>20</v>
      </c>
      <c r="W173" s="50">
        <f>0.3*J167/V173</f>
        <v>2.7</v>
      </c>
      <c r="X173" s="117" t="s">
        <v>2</v>
      </c>
      <c r="Y173" s="118">
        <v>1</v>
      </c>
      <c r="Z173" s="62"/>
      <c r="AA173" s="79"/>
      <c r="AB173" s="80"/>
      <c r="AC173" s="118">
        <f>Y173*Z173*AB173</f>
        <v>0</v>
      </c>
      <c r="AD173" s="250"/>
      <c r="AE173" s="251"/>
      <c r="AF173" s="103"/>
      <c r="AG173" s="266"/>
      <c r="AH173" s="103" t="s">
        <v>668</v>
      </c>
      <c r="AI173" s="260"/>
      <c r="AJ173" s="254"/>
      <c r="AK173" s="103"/>
    </row>
    <row r="174" spans="1:37" s="28" customFormat="1" ht="26.25" customHeight="1">
      <c r="A174" s="262"/>
      <c r="B174" s="263"/>
      <c r="C174" s="119"/>
      <c r="D174" s="258"/>
      <c r="E174" s="258"/>
      <c r="F174" s="258"/>
      <c r="G174" s="258"/>
      <c r="H174" s="250"/>
      <c r="I174" s="256"/>
      <c r="J174" s="268"/>
      <c r="K174" s="268"/>
      <c r="L174" s="119"/>
      <c r="M174" s="269"/>
      <c r="N174" s="264"/>
      <c r="O174" s="264"/>
      <c r="P174" s="264"/>
      <c r="Q174" s="264"/>
      <c r="R174" s="264"/>
      <c r="S174" s="264"/>
      <c r="T174" s="264"/>
      <c r="U174" s="67" t="s">
        <v>669</v>
      </c>
      <c r="V174" s="50"/>
      <c r="W174" s="50"/>
      <c r="X174" s="117" t="s">
        <v>2</v>
      </c>
      <c r="Y174" s="118">
        <v>1</v>
      </c>
      <c r="Z174" s="62">
        <v>3000000</v>
      </c>
      <c r="AA174" s="79"/>
      <c r="AB174" s="80">
        <v>0.3</v>
      </c>
      <c r="AC174" s="118">
        <f>Y174*Z174*AB174</f>
        <v>900000</v>
      </c>
      <c r="AD174" s="250"/>
      <c r="AE174" s="251"/>
      <c r="AF174" s="103"/>
      <c r="AG174" s="266"/>
      <c r="AH174" s="103"/>
      <c r="AI174" s="260"/>
      <c r="AJ174" s="254"/>
      <c r="AK174" s="103"/>
    </row>
    <row r="175" spans="1:37" s="28" customFormat="1" ht="56.25" customHeight="1">
      <c r="A175" s="262"/>
      <c r="B175" s="263"/>
      <c r="C175" s="119"/>
      <c r="D175" s="258"/>
      <c r="E175" s="258"/>
      <c r="F175" s="258"/>
      <c r="G175" s="258"/>
      <c r="H175" s="250"/>
      <c r="I175" s="256"/>
      <c r="J175" s="268"/>
      <c r="K175" s="268"/>
      <c r="L175" s="119"/>
      <c r="M175" s="269"/>
      <c r="N175" s="264"/>
      <c r="O175" s="264"/>
      <c r="P175" s="264"/>
      <c r="Q175" s="264"/>
      <c r="R175" s="264"/>
      <c r="S175" s="264"/>
      <c r="T175" s="264"/>
      <c r="U175" s="120" t="s">
        <v>670</v>
      </c>
      <c r="V175" s="117"/>
      <c r="W175" s="117"/>
      <c r="X175" s="117" t="s">
        <v>6</v>
      </c>
      <c r="Y175" s="114">
        <v>76</v>
      </c>
      <c r="Z175" s="123"/>
      <c r="AA175" s="79"/>
      <c r="AB175" s="80">
        <v>0</v>
      </c>
      <c r="AC175" s="118">
        <f t="shared" ref="AC175:AC178" si="28">Y175*Z175*AB175/100</f>
        <v>0</v>
      </c>
      <c r="AD175" s="250"/>
      <c r="AE175" s="251"/>
      <c r="AF175" s="103"/>
      <c r="AG175" s="266"/>
      <c r="AH175" s="103"/>
      <c r="AI175" s="260"/>
      <c r="AJ175" s="254"/>
      <c r="AK175" s="103"/>
    </row>
    <row r="176" spans="1:37" s="28" customFormat="1" ht="31.5" customHeight="1">
      <c r="A176" s="262"/>
      <c r="B176" s="263"/>
      <c r="C176" s="119"/>
      <c r="D176" s="258"/>
      <c r="E176" s="258"/>
      <c r="F176" s="258"/>
      <c r="G176" s="258"/>
      <c r="H176" s="250"/>
      <c r="I176" s="256"/>
      <c r="J176" s="268"/>
      <c r="K176" s="268"/>
      <c r="L176" s="119"/>
      <c r="M176" s="269"/>
      <c r="N176" s="264"/>
      <c r="O176" s="264"/>
      <c r="P176" s="264"/>
      <c r="Q176" s="264"/>
      <c r="R176" s="264"/>
      <c r="S176" s="264"/>
      <c r="T176" s="264"/>
      <c r="U176" s="124" t="s">
        <v>671</v>
      </c>
      <c r="V176" s="117"/>
      <c r="W176" s="117"/>
      <c r="X176" s="41" t="s">
        <v>8</v>
      </c>
      <c r="Y176" s="114">
        <v>0.64</v>
      </c>
      <c r="Z176" s="123"/>
      <c r="AA176" s="79"/>
      <c r="AB176" s="80">
        <v>0</v>
      </c>
      <c r="AC176" s="118">
        <f t="shared" si="28"/>
        <v>0</v>
      </c>
      <c r="AD176" s="250"/>
      <c r="AE176" s="251"/>
      <c r="AF176" s="103"/>
      <c r="AG176" s="266"/>
      <c r="AH176" s="103"/>
      <c r="AI176" s="260"/>
      <c r="AJ176" s="254"/>
      <c r="AK176" s="103"/>
    </row>
    <row r="177" spans="1:37" s="28" customFormat="1" ht="21" customHeight="1">
      <c r="A177" s="262"/>
      <c r="B177" s="263"/>
      <c r="C177" s="119"/>
      <c r="D177" s="258"/>
      <c r="E177" s="258"/>
      <c r="F177" s="258"/>
      <c r="G177" s="258"/>
      <c r="H177" s="250"/>
      <c r="I177" s="256"/>
      <c r="J177" s="268"/>
      <c r="K177" s="268"/>
      <c r="L177" s="119"/>
      <c r="M177" s="269"/>
      <c r="N177" s="264"/>
      <c r="O177" s="264"/>
      <c r="P177" s="264"/>
      <c r="Q177" s="264"/>
      <c r="R177" s="264"/>
      <c r="S177" s="264"/>
      <c r="T177" s="264"/>
      <c r="U177" s="124" t="s">
        <v>672</v>
      </c>
      <c r="V177" s="117"/>
      <c r="W177" s="117"/>
      <c r="X177" s="117" t="s">
        <v>6</v>
      </c>
      <c r="Y177" s="114">
        <v>37</v>
      </c>
      <c r="Z177" s="123"/>
      <c r="AA177" s="79"/>
      <c r="AB177" s="80">
        <v>0</v>
      </c>
      <c r="AC177" s="118"/>
      <c r="AD177" s="250"/>
      <c r="AE177" s="251"/>
      <c r="AF177" s="103"/>
      <c r="AG177" s="266"/>
      <c r="AH177" s="103"/>
      <c r="AI177" s="260"/>
      <c r="AJ177" s="254"/>
      <c r="AK177" s="103"/>
    </row>
    <row r="178" spans="1:37" s="28" customFormat="1" ht="55.5" customHeight="1">
      <c r="A178" s="262"/>
      <c r="B178" s="263"/>
      <c r="C178" s="117" t="s">
        <v>33</v>
      </c>
      <c r="D178" s="258"/>
      <c r="E178" s="258"/>
      <c r="F178" s="258"/>
      <c r="G178" s="258"/>
      <c r="H178" s="250"/>
      <c r="I178" s="256"/>
      <c r="J178" s="268"/>
      <c r="K178" s="268"/>
      <c r="L178" s="117"/>
      <c r="M178" s="269"/>
      <c r="N178" s="264"/>
      <c r="O178" s="264"/>
      <c r="P178" s="264"/>
      <c r="Q178" s="264"/>
      <c r="R178" s="264"/>
      <c r="S178" s="264"/>
      <c r="T178" s="264"/>
      <c r="U178" s="124" t="s">
        <v>673</v>
      </c>
      <c r="V178" s="117"/>
      <c r="W178" s="117"/>
      <c r="X178" s="117" t="s">
        <v>6</v>
      </c>
      <c r="Y178" s="114">
        <v>6</v>
      </c>
      <c r="Z178" s="123"/>
      <c r="AA178" s="79"/>
      <c r="AB178" s="80">
        <v>0</v>
      </c>
      <c r="AC178" s="118">
        <f t="shared" si="28"/>
        <v>0</v>
      </c>
      <c r="AD178" s="250"/>
      <c r="AE178" s="251"/>
      <c r="AF178" s="103"/>
      <c r="AG178" s="267"/>
      <c r="AH178" s="103"/>
      <c r="AI178" s="261"/>
      <c r="AJ178" s="255"/>
      <c r="AK178" s="103"/>
    </row>
    <row r="179" spans="1:37" s="28" customFormat="1" ht="39" customHeight="1">
      <c r="A179" s="262">
        <v>23</v>
      </c>
      <c r="B179" s="263" t="s">
        <v>674</v>
      </c>
      <c r="C179" s="258" t="s">
        <v>39</v>
      </c>
      <c r="D179" s="258">
        <v>64</v>
      </c>
      <c r="E179" s="258">
        <v>486</v>
      </c>
      <c r="F179" s="258">
        <v>1093.3</v>
      </c>
      <c r="G179" s="258" t="s">
        <v>28</v>
      </c>
      <c r="H179" s="256">
        <v>1093.5</v>
      </c>
      <c r="I179" s="256">
        <f>F179-H179</f>
        <v>-0.20000000000004547</v>
      </c>
      <c r="J179" s="257">
        <v>1093.3</v>
      </c>
      <c r="K179" s="251">
        <v>1800</v>
      </c>
      <c r="L179" s="258"/>
      <c r="M179" s="258">
        <f>J179/K179*100</f>
        <v>60.738888888888887</v>
      </c>
      <c r="N179" s="250">
        <v>6</v>
      </c>
      <c r="O179" s="250">
        <v>4</v>
      </c>
      <c r="P179" s="250">
        <v>80000</v>
      </c>
      <c r="Q179" s="250">
        <f>P179*J179</f>
        <v>87464000</v>
      </c>
      <c r="R179" s="250">
        <f>Q179*3</f>
        <v>262392000</v>
      </c>
      <c r="S179" s="250">
        <f>N179*O179*17000*30</f>
        <v>12240000</v>
      </c>
      <c r="T179" s="250">
        <f>SUM(Q179:S190)</f>
        <v>362096000</v>
      </c>
      <c r="U179" s="65" t="s">
        <v>457</v>
      </c>
      <c r="V179" s="50">
        <v>25</v>
      </c>
      <c r="W179" s="50">
        <f>J179/V179</f>
        <v>43.731999999999999</v>
      </c>
      <c r="X179" s="117" t="s">
        <v>2</v>
      </c>
      <c r="Y179" s="118">
        <v>15</v>
      </c>
      <c r="Z179" s="62"/>
      <c r="AA179" s="79"/>
      <c r="AB179" s="80"/>
      <c r="AC179" s="118">
        <f t="shared" ref="AC179:AC190" si="29">Y179*Z179*AB179</f>
        <v>0</v>
      </c>
      <c r="AD179" s="250">
        <f>SUM(AC179:AC190)</f>
        <v>180100000</v>
      </c>
      <c r="AE179" s="251">
        <f>T179+AD179</f>
        <v>542196000</v>
      </c>
      <c r="AF179" s="104">
        <f>Y179*25</f>
        <v>375</v>
      </c>
      <c r="AG179" s="103" t="s">
        <v>513</v>
      </c>
      <c r="AH179" s="103"/>
      <c r="AI179" s="252" t="s">
        <v>675</v>
      </c>
      <c r="AJ179" s="253" t="s">
        <v>681</v>
      </c>
      <c r="AK179" s="103"/>
    </row>
    <row r="180" spans="1:37" s="28" customFormat="1" ht="21" customHeight="1">
      <c r="A180" s="262"/>
      <c r="B180" s="263"/>
      <c r="C180" s="258"/>
      <c r="D180" s="258"/>
      <c r="E180" s="258"/>
      <c r="F180" s="258"/>
      <c r="G180" s="258"/>
      <c r="H180" s="256"/>
      <c r="I180" s="256"/>
      <c r="J180" s="257"/>
      <c r="K180" s="251"/>
      <c r="L180" s="258"/>
      <c r="M180" s="258"/>
      <c r="N180" s="250"/>
      <c r="O180" s="250"/>
      <c r="P180" s="250"/>
      <c r="Q180" s="250"/>
      <c r="R180" s="250"/>
      <c r="S180" s="250"/>
      <c r="T180" s="250"/>
      <c r="U180" s="67" t="s">
        <v>421</v>
      </c>
      <c r="V180" s="50"/>
      <c r="W180" s="50"/>
      <c r="X180" s="117" t="s">
        <v>2</v>
      </c>
      <c r="Y180" s="118">
        <v>15</v>
      </c>
      <c r="Z180" s="62">
        <v>4500000</v>
      </c>
      <c r="AA180" s="79"/>
      <c r="AB180" s="80">
        <v>1</v>
      </c>
      <c r="AC180" s="118">
        <f t="shared" si="29"/>
        <v>67500000</v>
      </c>
      <c r="AD180" s="250"/>
      <c r="AE180" s="251"/>
      <c r="AF180" s="104"/>
      <c r="AG180" s="103"/>
      <c r="AH180" s="103"/>
      <c r="AI180" s="252"/>
      <c r="AJ180" s="254"/>
      <c r="AK180" s="103"/>
    </row>
    <row r="181" spans="1:37" s="28" customFormat="1" ht="33" customHeight="1">
      <c r="A181" s="262"/>
      <c r="B181" s="263"/>
      <c r="C181" s="258"/>
      <c r="D181" s="258"/>
      <c r="E181" s="258"/>
      <c r="F181" s="258"/>
      <c r="G181" s="258"/>
      <c r="H181" s="256"/>
      <c r="I181" s="256"/>
      <c r="J181" s="257"/>
      <c r="K181" s="251"/>
      <c r="L181" s="258"/>
      <c r="M181" s="258"/>
      <c r="N181" s="250"/>
      <c r="O181" s="250"/>
      <c r="P181" s="250"/>
      <c r="Q181" s="250"/>
      <c r="R181" s="250"/>
      <c r="S181" s="250"/>
      <c r="T181" s="250"/>
      <c r="U181" s="65" t="s">
        <v>453</v>
      </c>
      <c r="V181" s="50"/>
      <c r="W181" s="50"/>
      <c r="X181" s="117" t="s">
        <v>2</v>
      </c>
      <c r="Y181" s="118">
        <v>22</v>
      </c>
      <c r="Z181" s="62"/>
      <c r="AA181" s="79"/>
      <c r="AB181" s="80"/>
      <c r="AC181" s="118">
        <f t="shared" si="29"/>
        <v>0</v>
      </c>
      <c r="AD181" s="250"/>
      <c r="AE181" s="251"/>
      <c r="AF181" s="104">
        <f t="shared" ref="AF181:AF183" si="30">Y181*25</f>
        <v>550</v>
      </c>
      <c r="AG181" s="103"/>
      <c r="AH181" s="103"/>
      <c r="AI181" s="252"/>
      <c r="AJ181" s="254"/>
      <c r="AK181" s="103"/>
    </row>
    <row r="182" spans="1:37" s="28" customFormat="1" ht="30" customHeight="1">
      <c r="A182" s="262"/>
      <c r="B182" s="263"/>
      <c r="C182" s="258"/>
      <c r="D182" s="258"/>
      <c r="E182" s="258"/>
      <c r="F182" s="258"/>
      <c r="G182" s="258"/>
      <c r="H182" s="256"/>
      <c r="I182" s="256"/>
      <c r="J182" s="257"/>
      <c r="K182" s="251"/>
      <c r="L182" s="258"/>
      <c r="M182" s="258"/>
      <c r="N182" s="250"/>
      <c r="O182" s="250"/>
      <c r="P182" s="250"/>
      <c r="Q182" s="250"/>
      <c r="R182" s="250"/>
      <c r="S182" s="250"/>
      <c r="T182" s="250"/>
      <c r="U182" s="67" t="s">
        <v>421</v>
      </c>
      <c r="V182" s="50"/>
      <c r="W182" s="50"/>
      <c r="X182" s="117" t="s">
        <v>2</v>
      </c>
      <c r="Y182" s="118">
        <v>22</v>
      </c>
      <c r="Z182" s="62">
        <v>3850000</v>
      </c>
      <c r="AA182" s="79"/>
      <c r="AB182" s="80">
        <v>1</v>
      </c>
      <c r="AC182" s="118">
        <f t="shared" si="29"/>
        <v>84700000</v>
      </c>
      <c r="AD182" s="250"/>
      <c r="AE182" s="251"/>
      <c r="AF182" s="104"/>
      <c r="AG182" s="103"/>
      <c r="AH182" s="103"/>
      <c r="AI182" s="252"/>
      <c r="AJ182" s="254"/>
      <c r="AK182" s="103"/>
    </row>
    <row r="183" spans="1:37" s="28" customFormat="1" ht="55.5" customHeight="1">
      <c r="A183" s="262"/>
      <c r="B183" s="263"/>
      <c r="C183" s="258"/>
      <c r="D183" s="258"/>
      <c r="E183" s="258"/>
      <c r="F183" s="258"/>
      <c r="G183" s="258"/>
      <c r="H183" s="256"/>
      <c r="I183" s="256"/>
      <c r="J183" s="257"/>
      <c r="K183" s="251"/>
      <c r="L183" s="258"/>
      <c r="M183" s="258"/>
      <c r="N183" s="250"/>
      <c r="O183" s="250"/>
      <c r="P183" s="250"/>
      <c r="Q183" s="250"/>
      <c r="R183" s="250"/>
      <c r="S183" s="250"/>
      <c r="T183" s="250"/>
      <c r="U183" s="65" t="s">
        <v>676</v>
      </c>
      <c r="V183" s="50"/>
      <c r="W183" s="50"/>
      <c r="X183" s="117" t="s">
        <v>2</v>
      </c>
      <c r="Y183" s="118">
        <v>7</v>
      </c>
      <c r="Z183" s="62"/>
      <c r="AA183" s="79"/>
      <c r="AB183" s="80"/>
      <c r="AC183" s="118">
        <f t="shared" si="29"/>
        <v>0</v>
      </c>
      <c r="AD183" s="250"/>
      <c r="AE183" s="251"/>
      <c r="AF183" s="104">
        <f t="shared" si="30"/>
        <v>175</v>
      </c>
      <c r="AG183" s="103"/>
      <c r="AH183" s="103"/>
      <c r="AI183" s="252"/>
      <c r="AJ183" s="254"/>
      <c r="AK183" s="103"/>
    </row>
    <row r="184" spans="1:37" s="28" customFormat="1" ht="32.25" customHeight="1">
      <c r="A184" s="262"/>
      <c r="B184" s="263"/>
      <c r="C184" s="258"/>
      <c r="D184" s="258"/>
      <c r="E184" s="258"/>
      <c r="F184" s="258"/>
      <c r="G184" s="258"/>
      <c r="H184" s="256"/>
      <c r="I184" s="256"/>
      <c r="J184" s="257"/>
      <c r="K184" s="251"/>
      <c r="L184" s="258"/>
      <c r="M184" s="258"/>
      <c r="N184" s="250"/>
      <c r="O184" s="250"/>
      <c r="P184" s="250"/>
      <c r="Q184" s="250"/>
      <c r="R184" s="250"/>
      <c r="S184" s="250"/>
      <c r="T184" s="250"/>
      <c r="U184" s="67" t="s">
        <v>421</v>
      </c>
      <c r="V184" s="50"/>
      <c r="W184" s="50"/>
      <c r="X184" s="117" t="s">
        <v>2</v>
      </c>
      <c r="Y184" s="118">
        <v>7</v>
      </c>
      <c r="Z184" s="62">
        <v>2700000</v>
      </c>
      <c r="AA184" s="79"/>
      <c r="AB184" s="80">
        <v>1</v>
      </c>
      <c r="AC184" s="118">
        <f t="shared" si="29"/>
        <v>18900000</v>
      </c>
      <c r="AD184" s="250"/>
      <c r="AE184" s="251"/>
      <c r="AF184" s="104"/>
      <c r="AG184" s="103"/>
      <c r="AH184" s="103"/>
      <c r="AI184" s="252"/>
      <c r="AJ184" s="254"/>
      <c r="AK184" s="103"/>
    </row>
    <row r="185" spans="1:37" s="28" customFormat="1" ht="55.5" customHeight="1">
      <c r="A185" s="262"/>
      <c r="B185" s="263"/>
      <c r="C185" s="258"/>
      <c r="D185" s="258"/>
      <c r="E185" s="258"/>
      <c r="F185" s="258"/>
      <c r="G185" s="258"/>
      <c r="H185" s="256"/>
      <c r="I185" s="256"/>
      <c r="J185" s="257"/>
      <c r="K185" s="251"/>
      <c r="L185" s="258"/>
      <c r="M185" s="258"/>
      <c r="N185" s="250"/>
      <c r="O185" s="250"/>
      <c r="P185" s="250"/>
      <c r="Q185" s="250"/>
      <c r="R185" s="250"/>
      <c r="S185" s="250"/>
      <c r="T185" s="250"/>
      <c r="U185" s="65" t="s">
        <v>459</v>
      </c>
      <c r="V185" s="50">
        <v>20</v>
      </c>
      <c r="W185" s="50">
        <f>J179/V185</f>
        <v>54.664999999999999</v>
      </c>
      <c r="X185" s="117" t="s">
        <v>2</v>
      </c>
      <c r="Y185" s="118">
        <v>12</v>
      </c>
      <c r="Z185" s="62"/>
      <c r="AA185" s="79"/>
      <c r="AB185" s="80"/>
      <c r="AC185" s="118">
        <f t="shared" si="29"/>
        <v>0</v>
      </c>
      <c r="AD185" s="250"/>
      <c r="AE185" s="251"/>
      <c r="AF185" s="104"/>
      <c r="AG185" s="103"/>
      <c r="AH185" s="103"/>
      <c r="AI185" s="252"/>
      <c r="AJ185" s="254"/>
      <c r="AK185" s="103"/>
    </row>
    <row r="186" spans="1:37" s="28" customFormat="1" ht="31.5" customHeight="1">
      <c r="A186" s="262"/>
      <c r="B186" s="263"/>
      <c r="C186" s="258"/>
      <c r="D186" s="258"/>
      <c r="E186" s="258"/>
      <c r="F186" s="258"/>
      <c r="G186" s="258"/>
      <c r="H186" s="256"/>
      <c r="I186" s="256"/>
      <c r="J186" s="257"/>
      <c r="K186" s="251"/>
      <c r="L186" s="258"/>
      <c r="M186" s="258"/>
      <c r="N186" s="250"/>
      <c r="O186" s="250"/>
      <c r="P186" s="250"/>
      <c r="Q186" s="250"/>
      <c r="R186" s="250"/>
      <c r="S186" s="250"/>
      <c r="T186" s="250"/>
      <c r="U186" s="67" t="s">
        <v>421</v>
      </c>
      <c r="V186" s="50"/>
      <c r="W186" s="50"/>
      <c r="X186" s="117" t="s">
        <v>2</v>
      </c>
      <c r="Y186" s="118">
        <v>12</v>
      </c>
      <c r="Z186" s="62">
        <v>2500000</v>
      </c>
      <c r="AA186" s="79"/>
      <c r="AB186" s="80">
        <v>0.3</v>
      </c>
      <c r="AC186" s="118">
        <f t="shared" si="29"/>
        <v>9000000</v>
      </c>
      <c r="AD186" s="250"/>
      <c r="AE186" s="251"/>
      <c r="AF186" s="104"/>
      <c r="AG186" s="103"/>
      <c r="AH186" s="103"/>
      <c r="AI186" s="252"/>
      <c r="AJ186" s="254"/>
      <c r="AK186" s="103"/>
    </row>
    <row r="187" spans="1:37" s="28" customFormat="1" ht="55.5" customHeight="1">
      <c r="A187" s="262"/>
      <c r="B187" s="263"/>
      <c r="C187" s="258"/>
      <c r="D187" s="258"/>
      <c r="E187" s="258"/>
      <c r="F187" s="258"/>
      <c r="G187" s="258"/>
      <c r="H187" s="256"/>
      <c r="I187" s="256"/>
      <c r="J187" s="257"/>
      <c r="K187" s="251"/>
      <c r="L187" s="258"/>
      <c r="M187" s="258"/>
      <c r="N187" s="250"/>
      <c r="O187" s="250"/>
      <c r="P187" s="250"/>
      <c r="Q187" s="250"/>
      <c r="R187" s="250"/>
      <c r="S187" s="250"/>
      <c r="T187" s="250"/>
      <c r="U187" s="65" t="s">
        <v>677</v>
      </c>
      <c r="V187" s="50">
        <v>10</v>
      </c>
      <c r="W187" s="50">
        <f>J179/V187</f>
        <v>109.33</v>
      </c>
      <c r="X187" s="117" t="s">
        <v>2</v>
      </c>
      <c r="Y187" s="118">
        <v>20</v>
      </c>
      <c r="Z187" s="123">
        <v>95000</v>
      </c>
      <c r="AA187" s="79"/>
      <c r="AB187" s="80">
        <v>0</v>
      </c>
      <c r="AC187" s="118">
        <f t="shared" si="29"/>
        <v>0</v>
      </c>
      <c r="AD187" s="250"/>
      <c r="AE187" s="251"/>
      <c r="AF187" s="104"/>
      <c r="AG187" s="103" t="s">
        <v>678</v>
      </c>
      <c r="AH187" s="103"/>
      <c r="AI187" s="252"/>
      <c r="AJ187" s="254"/>
      <c r="AK187" s="103"/>
    </row>
    <row r="188" spans="1:37" s="28" customFormat="1" ht="23.25" customHeight="1">
      <c r="A188" s="262"/>
      <c r="B188" s="263"/>
      <c r="C188" s="258"/>
      <c r="D188" s="258"/>
      <c r="E188" s="258"/>
      <c r="F188" s="258"/>
      <c r="G188" s="258"/>
      <c r="H188" s="256"/>
      <c r="I188" s="256"/>
      <c r="J188" s="257"/>
      <c r="K188" s="251"/>
      <c r="L188" s="258"/>
      <c r="M188" s="258"/>
      <c r="N188" s="250"/>
      <c r="O188" s="250"/>
      <c r="P188" s="250"/>
      <c r="Q188" s="250"/>
      <c r="R188" s="250"/>
      <c r="S188" s="250"/>
      <c r="T188" s="250"/>
      <c r="U188" s="124" t="s">
        <v>525</v>
      </c>
      <c r="V188" s="117"/>
      <c r="W188" s="117"/>
      <c r="X188" s="117" t="s">
        <v>399</v>
      </c>
      <c r="Y188" s="118">
        <v>1</v>
      </c>
      <c r="Z188" s="62"/>
      <c r="AA188" s="79"/>
      <c r="AB188" s="80">
        <v>0</v>
      </c>
      <c r="AC188" s="118">
        <f t="shared" si="29"/>
        <v>0</v>
      </c>
      <c r="AD188" s="250"/>
      <c r="AE188" s="251"/>
      <c r="AF188" s="104"/>
      <c r="AG188" s="103"/>
      <c r="AH188" s="103"/>
      <c r="AI188" s="252"/>
      <c r="AJ188" s="254"/>
      <c r="AK188" s="103"/>
    </row>
    <row r="189" spans="1:37" s="28" customFormat="1" ht="39.75" customHeight="1">
      <c r="A189" s="262"/>
      <c r="B189" s="263"/>
      <c r="C189" s="258"/>
      <c r="D189" s="258"/>
      <c r="E189" s="258"/>
      <c r="F189" s="258"/>
      <c r="G189" s="258"/>
      <c r="H189" s="256"/>
      <c r="I189" s="256"/>
      <c r="J189" s="257"/>
      <c r="K189" s="251"/>
      <c r="L189" s="258"/>
      <c r="M189" s="258"/>
      <c r="N189" s="250"/>
      <c r="O189" s="250"/>
      <c r="P189" s="250"/>
      <c r="Q189" s="250"/>
      <c r="R189" s="250"/>
      <c r="S189" s="250"/>
      <c r="T189" s="250"/>
      <c r="U189" s="124" t="s">
        <v>679</v>
      </c>
      <c r="V189" s="117"/>
      <c r="W189" s="117"/>
      <c r="X189" s="41" t="s">
        <v>8</v>
      </c>
      <c r="Y189" s="114">
        <v>1.2</v>
      </c>
      <c r="Z189" s="123"/>
      <c r="AA189" s="79"/>
      <c r="AB189" s="80">
        <v>0</v>
      </c>
      <c r="AC189" s="118">
        <f t="shared" si="29"/>
        <v>0</v>
      </c>
      <c r="AD189" s="250"/>
      <c r="AE189" s="251"/>
      <c r="AF189" s="104"/>
      <c r="AG189" s="103"/>
      <c r="AH189" s="103"/>
      <c r="AI189" s="252"/>
      <c r="AJ189" s="254"/>
      <c r="AK189" s="103"/>
    </row>
    <row r="190" spans="1:37" s="28" customFormat="1" ht="23.25" customHeight="1">
      <c r="A190" s="262"/>
      <c r="B190" s="263"/>
      <c r="C190" s="258"/>
      <c r="D190" s="258"/>
      <c r="E190" s="258"/>
      <c r="F190" s="258"/>
      <c r="G190" s="258"/>
      <c r="H190" s="256"/>
      <c r="I190" s="256"/>
      <c r="J190" s="257"/>
      <c r="K190" s="251"/>
      <c r="L190" s="258"/>
      <c r="M190" s="258"/>
      <c r="N190" s="250"/>
      <c r="O190" s="250"/>
      <c r="P190" s="250"/>
      <c r="Q190" s="250"/>
      <c r="R190" s="250"/>
      <c r="S190" s="250"/>
      <c r="T190" s="250"/>
      <c r="U190" s="120" t="s">
        <v>680</v>
      </c>
      <c r="V190" s="119"/>
      <c r="W190" s="119"/>
      <c r="X190" s="117" t="s">
        <v>6</v>
      </c>
      <c r="Y190" s="114">
        <v>4</v>
      </c>
      <c r="Z190" s="123"/>
      <c r="AA190" s="79"/>
      <c r="AB190" s="80">
        <v>0</v>
      </c>
      <c r="AC190" s="118">
        <f t="shared" si="29"/>
        <v>0</v>
      </c>
      <c r="AD190" s="250"/>
      <c r="AE190" s="251"/>
      <c r="AF190" s="105"/>
      <c r="AG190" s="103"/>
      <c r="AH190" s="103"/>
      <c r="AI190" s="252"/>
      <c r="AJ190" s="255"/>
      <c r="AK190" s="103"/>
    </row>
    <row r="191" spans="1:37" ht="38.25" customHeight="1">
      <c r="A191" s="125"/>
      <c r="B191" s="125" t="s">
        <v>617</v>
      </c>
      <c r="C191" s="34"/>
      <c r="D191" s="34"/>
      <c r="E191" s="34"/>
      <c r="F191" s="93">
        <f>SUM(F9:F190)</f>
        <v>16503.8</v>
      </c>
      <c r="G191" s="93"/>
      <c r="H191" s="93">
        <f>SUM(H9:H190)</f>
        <v>16599.400000000001</v>
      </c>
      <c r="I191" s="93">
        <f>SUM(I9:I190)</f>
        <v>-95.600000000000421</v>
      </c>
      <c r="J191" s="115">
        <f>SUM(J9:J190)</f>
        <v>16599.2</v>
      </c>
      <c r="K191" s="93"/>
      <c r="L191" s="93">
        <f>SUM(L9:L190)</f>
        <v>2736</v>
      </c>
      <c r="M191" s="93"/>
      <c r="N191" s="93"/>
      <c r="O191" s="106">
        <f>SUM(O9:O190)</f>
        <v>117</v>
      </c>
      <c r="P191" s="93"/>
      <c r="Q191" s="116">
        <f>SUM(Q9:Q190)</f>
        <v>1327936000</v>
      </c>
      <c r="R191" s="116">
        <f>SUM(R9:R190)</f>
        <v>3983808000</v>
      </c>
      <c r="S191" s="116">
        <f>SUM(S9:S190)</f>
        <v>544170000</v>
      </c>
      <c r="T191" s="116">
        <f>SUM(T9:T190)</f>
        <v>5855914000</v>
      </c>
      <c r="U191" s="93"/>
      <c r="V191" s="93"/>
      <c r="W191" s="93"/>
      <c r="X191" s="93"/>
      <c r="Y191" s="93"/>
      <c r="Z191" s="93"/>
      <c r="AA191" s="93"/>
      <c r="AB191" s="93"/>
      <c r="AC191" s="93"/>
      <c r="AD191" s="116">
        <f t="shared" ref="AD191:AI191" si="31">SUM(AD9:AD190)</f>
        <v>2412450000</v>
      </c>
      <c r="AE191" s="116">
        <f t="shared" si="31"/>
        <v>8268364000</v>
      </c>
      <c r="AF191" s="93">
        <f t="shared" si="31"/>
        <v>2800</v>
      </c>
      <c r="AG191" s="93">
        <f t="shared" si="31"/>
        <v>0</v>
      </c>
      <c r="AH191" s="93">
        <f t="shared" si="31"/>
        <v>0</v>
      </c>
      <c r="AI191" s="93">
        <f t="shared" si="31"/>
        <v>0</v>
      </c>
    </row>
    <row r="193" spans="10:3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row>
    <row r="194" spans="10:31" hidden="1">
      <c r="Q194" s="107"/>
      <c r="R194" s="107"/>
    </row>
    <row r="195" spans="10:31" hidden="1"/>
    <row r="196" spans="10:31" hidden="1">
      <c r="Q196" s="107"/>
    </row>
    <row r="197" spans="10:31" hidden="1"/>
    <row r="198" spans="10:31">
      <c r="J198" s="112"/>
      <c r="AE198" s="132"/>
    </row>
    <row r="199" spans="10:31">
      <c r="AE199" s="132"/>
    </row>
    <row r="201" spans="10:31">
      <c r="Q201" s="107"/>
      <c r="R201" s="107"/>
    </row>
  </sheetData>
  <autoFilter ref="A7:AE191"/>
  <mergeCells count="449">
    <mergeCell ref="AD179:AD190"/>
    <mergeCell ref="AE179:AE190"/>
    <mergeCell ref="AI179:AI190"/>
    <mergeCell ref="AJ179:AJ190"/>
    <mergeCell ref="O179:O190"/>
    <mergeCell ref="P179:P190"/>
    <mergeCell ref="Q179:Q190"/>
    <mergeCell ref="R179:R190"/>
    <mergeCell ref="S179:S190"/>
    <mergeCell ref="T179:T190"/>
    <mergeCell ref="I179:I190"/>
    <mergeCell ref="J179:J190"/>
    <mergeCell ref="K179:K190"/>
    <mergeCell ref="L179:L190"/>
    <mergeCell ref="M179:M190"/>
    <mergeCell ref="N179:N190"/>
    <mergeCell ref="AI167:AI178"/>
    <mergeCell ref="AJ167:AJ178"/>
    <mergeCell ref="A179:A190"/>
    <mergeCell ref="B179:B190"/>
    <mergeCell ref="C179:C190"/>
    <mergeCell ref="D179:D190"/>
    <mergeCell ref="E179:E190"/>
    <mergeCell ref="F179:F190"/>
    <mergeCell ref="G179:G190"/>
    <mergeCell ref="H179:H190"/>
    <mergeCell ref="R167:R178"/>
    <mergeCell ref="S167:S178"/>
    <mergeCell ref="T167:T178"/>
    <mergeCell ref="AD167:AD178"/>
    <mergeCell ref="AE167:AE178"/>
    <mergeCell ref="AG167:AG178"/>
    <mergeCell ref="K167:K178"/>
    <mergeCell ref="M167:M178"/>
    <mergeCell ref="N167:N178"/>
    <mergeCell ref="O167:O178"/>
    <mergeCell ref="P167:P178"/>
    <mergeCell ref="Q167:Q178"/>
    <mergeCell ref="AE163:AE166"/>
    <mergeCell ref="A167:A178"/>
    <mergeCell ref="B167:B178"/>
    <mergeCell ref="D167:D178"/>
    <mergeCell ref="E167:E178"/>
    <mergeCell ref="F167:F178"/>
    <mergeCell ref="G167:G178"/>
    <mergeCell ref="H167:H178"/>
    <mergeCell ref="I167:I178"/>
    <mergeCell ref="J167:J178"/>
    <mergeCell ref="P163:P166"/>
    <mergeCell ref="Q163:Q166"/>
    <mergeCell ref="R163:R166"/>
    <mergeCell ref="S163:S166"/>
    <mergeCell ref="T163:T166"/>
    <mergeCell ref="AD163:AD165"/>
    <mergeCell ref="J163:J166"/>
    <mergeCell ref="K163:K166"/>
    <mergeCell ref="L163:L166"/>
    <mergeCell ref="M163:M166"/>
    <mergeCell ref="N163:N166"/>
    <mergeCell ref="O163:O166"/>
    <mergeCell ref="AE161:AE162"/>
    <mergeCell ref="A163:A166"/>
    <mergeCell ref="B163:B166"/>
    <mergeCell ref="C163:C165"/>
    <mergeCell ref="D163:D165"/>
    <mergeCell ref="E163:E165"/>
    <mergeCell ref="F163:F165"/>
    <mergeCell ref="G163:G165"/>
    <mergeCell ref="H163:H165"/>
    <mergeCell ref="I163:I165"/>
    <mergeCell ref="P161:P162"/>
    <mergeCell ref="Q161:Q162"/>
    <mergeCell ref="R161:R162"/>
    <mergeCell ref="S161:S162"/>
    <mergeCell ref="T161:T162"/>
    <mergeCell ref="AD161:AD162"/>
    <mergeCell ref="J161:J162"/>
    <mergeCell ref="K161:K162"/>
    <mergeCell ref="L161:L162"/>
    <mergeCell ref="M161:M162"/>
    <mergeCell ref="N161:N162"/>
    <mergeCell ref="O161:O162"/>
    <mergeCell ref="Q154:Q160"/>
    <mergeCell ref="R154:R160"/>
    <mergeCell ref="S154:S160"/>
    <mergeCell ref="T154:T160"/>
    <mergeCell ref="AD154:AD160"/>
    <mergeCell ref="J154:J160"/>
    <mergeCell ref="K154:K160"/>
    <mergeCell ref="L154:L160"/>
    <mergeCell ref="M154:M160"/>
    <mergeCell ref="N154:N160"/>
    <mergeCell ref="O154:O160"/>
    <mergeCell ref="A161:A162"/>
    <mergeCell ref="B161:B162"/>
    <mergeCell ref="C161:C162"/>
    <mergeCell ref="D161:D162"/>
    <mergeCell ref="E161:E162"/>
    <mergeCell ref="F161:F162"/>
    <mergeCell ref="G161:G162"/>
    <mergeCell ref="H161:H162"/>
    <mergeCell ref="I161:I162"/>
    <mergeCell ref="AE147:AE153"/>
    <mergeCell ref="A154:A160"/>
    <mergeCell ref="B154:B160"/>
    <mergeCell ref="C154:C160"/>
    <mergeCell ref="D154:D160"/>
    <mergeCell ref="E154:E160"/>
    <mergeCell ref="F154:F160"/>
    <mergeCell ref="G154:G160"/>
    <mergeCell ref="H154:H160"/>
    <mergeCell ref="I154:I160"/>
    <mergeCell ref="P147:P153"/>
    <mergeCell ref="Q147:Q153"/>
    <mergeCell ref="R147:R153"/>
    <mergeCell ref="S147:S153"/>
    <mergeCell ref="T147:T153"/>
    <mergeCell ref="AD147:AD153"/>
    <mergeCell ref="J147:J153"/>
    <mergeCell ref="K147:K153"/>
    <mergeCell ref="L147:L153"/>
    <mergeCell ref="M147:M153"/>
    <mergeCell ref="N147:N153"/>
    <mergeCell ref="O147:O153"/>
    <mergeCell ref="AE154:AE160"/>
    <mergeCell ref="P154:P160"/>
    <mergeCell ref="Q140:Q146"/>
    <mergeCell ref="R140:R146"/>
    <mergeCell ref="S140:S146"/>
    <mergeCell ref="T140:T146"/>
    <mergeCell ref="AD140:AD146"/>
    <mergeCell ref="J140:J146"/>
    <mergeCell ref="K140:K146"/>
    <mergeCell ref="L140:L146"/>
    <mergeCell ref="M140:M146"/>
    <mergeCell ref="N140:N146"/>
    <mergeCell ref="O140:O146"/>
    <mergeCell ref="A147:A153"/>
    <mergeCell ref="B147:B153"/>
    <mergeCell ref="C147:C153"/>
    <mergeCell ref="D147:D153"/>
    <mergeCell ref="E147:E153"/>
    <mergeCell ref="F147:F153"/>
    <mergeCell ref="G147:G153"/>
    <mergeCell ref="H147:H153"/>
    <mergeCell ref="I147:I153"/>
    <mergeCell ref="AE123:AE139"/>
    <mergeCell ref="A140:A146"/>
    <mergeCell ref="B140:B146"/>
    <mergeCell ref="C140:C146"/>
    <mergeCell ref="D140:D146"/>
    <mergeCell ref="E140:E146"/>
    <mergeCell ref="F140:F146"/>
    <mergeCell ref="G140:G146"/>
    <mergeCell ref="H140:H146"/>
    <mergeCell ref="I140:I146"/>
    <mergeCell ref="P123:P139"/>
    <mergeCell ref="Q123:Q139"/>
    <mergeCell ref="R123:R139"/>
    <mergeCell ref="S123:S139"/>
    <mergeCell ref="T123:T139"/>
    <mergeCell ref="AD123:AD139"/>
    <mergeCell ref="J123:J139"/>
    <mergeCell ref="K123:K139"/>
    <mergeCell ref="L123:L139"/>
    <mergeCell ref="M123:M139"/>
    <mergeCell ref="N123:N139"/>
    <mergeCell ref="O123:O139"/>
    <mergeCell ref="AE140:AE146"/>
    <mergeCell ref="P140:P146"/>
    <mergeCell ref="Q119:Q122"/>
    <mergeCell ref="R119:R122"/>
    <mergeCell ref="S119:S122"/>
    <mergeCell ref="T119:T122"/>
    <mergeCell ref="AD119:AD122"/>
    <mergeCell ref="J119:J122"/>
    <mergeCell ref="K119:K122"/>
    <mergeCell ref="L119:L122"/>
    <mergeCell ref="M119:M122"/>
    <mergeCell ref="N119:N122"/>
    <mergeCell ref="O119:O122"/>
    <mergeCell ref="A123:A139"/>
    <mergeCell ref="B123:B139"/>
    <mergeCell ref="C123:C139"/>
    <mergeCell ref="D123:D139"/>
    <mergeCell ref="E123:E139"/>
    <mergeCell ref="F123:F139"/>
    <mergeCell ref="G123:G139"/>
    <mergeCell ref="H123:H139"/>
    <mergeCell ref="I123:I139"/>
    <mergeCell ref="AE108:AE118"/>
    <mergeCell ref="A119:A122"/>
    <mergeCell ref="B119:B122"/>
    <mergeCell ref="C119:C122"/>
    <mergeCell ref="D119:D122"/>
    <mergeCell ref="E119:E122"/>
    <mergeCell ref="F119:F122"/>
    <mergeCell ref="G119:G122"/>
    <mergeCell ref="H119:H122"/>
    <mergeCell ref="I119:I122"/>
    <mergeCell ref="P108:P118"/>
    <mergeCell ref="Q108:Q118"/>
    <mergeCell ref="R108:R118"/>
    <mergeCell ref="S108:S118"/>
    <mergeCell ref="T108:T118"/>
    <mergeCell ref="AD108:AD118"/>
    <mergeCell ref="J108:J118"/>
    <mergeCell ref="K108:K118"/>
    <mergeCell ref="L108:L118"/>
    <mergeCell ref="M108:M118"/>
    <mergeCell ref="N108:N118"/>
    <mergeCell ref="O108:O118"/>
    <mergeCell ref="AE119:AE122"/>
    <mergeCell ref="P119:P122"/>
    <mergeCell ref="A108:A118"/>
    <mergeCell ref="B108:B118"/>
    <mergeCell ref="C108:C118"/>
    <mergeCell ref="D108:D118"/>
    <mergeCell ref="E108:E118"/>
    <mergeCell ref="F108:F118"/>
    <mergeCell ref="G108:G118"/>
    <mergeCell ref="H108:H118"/>
    <mergeCell ref="I108:I118"/>
    <mergeCell ref="AE86:AE107"/>
    <mergeCell ref="C97:C107"/>
    <mergeCell ref="D97:D107"/>
    <mergeCell ref="E97:E107"/>
    <mergeCell ref="F97:F107"/>
    <mergeCell ref="G97:G107"/>
    <mergeCell ref="H97:H107"/>
    <mergeCell ref="M86:M107"/>
    <mergeCell ref="N86:N107"/>
    <mergeCell ref="O86:O107"/>
    <mergeCell ref="P86:P107"/>
    <mergeCell ref="Q86:Q107"/>
    <mergeCell ref="R86:R107"/>
    <mergeCell ref="G86:G96"/>
    <mergeCell ref="H86:H96"/>
    <mergeCell ref="I86:I96"/>
    <mergeCell ref="J86:J107"/>
    <mergeCell ref="K86:K107"/>
    <mergeCell ref="L86:L107"/>
    <mergeCell ref="I97:I107"/>
    <mergeCell ref="AD97:AD107"/>
    <mergeCell ref="S86:S107"/>
    <mergeCell ref="T86:T107"/>
    <mergeCell ref="AD86:AD96"/>
    <mergeCell ref="A86:A107"/>
    <mergeCell ref="B86:B107"/>
    <mergeCell ref="C86:C96"/>
    <mergeCell ref="D86:D96"/>
    <mergeCell ref="E86:E96"/>
    <mergeCell ref="F86:F96"/>
    <mergeCell ref="M77:M85"/>
    <mergeCell ref="N77:N85"/>
    <mergeCell ref="O77:O85"/>
    <mergeCell ref="G77:G85"/>
    <mergeCell ref="H77:H85"/>
    <mergeCell ref="I77:I85"/>
    <mergeCell ref="J77:J85"/>
    <mergeCell ref="K77:K85"/>
    <mergeCell ref="L77:L85"/>
    <mergeCell ref="A77:A85"/>
    <mergeCell ref="B77:B85"/>
    <mergeCell ref="C77:C85"/>
    <mergeCell ref="D77:D85"/>
    <mergeCell ref="E77:E85"/>
    <mergeCell ref="F77:F85"/>
    <mergeCell ref="P77:P85"/>
    <mergeCell ref="Q77:Q85"/>
    <mergeCell ref="R77:R85"/>
    <mergeCell ref="AJ69:AJ75"/>
    <mergeCell ref="M69:M75"/>
    <mergeCell ref="N69:N75"/>
    <mergeCell ref="O69:O75"/>
    <mergeCell ref="P69:P75"/>
    <mergeCell ref="Q69:Q75"/>
    <mergeCell ref="R69:R75"/>
    <mergeCell ref="S69:S75"/>
    <mergeCell ref="T69:T75"/>
    <mergeCell ref="AD69:AD75"/>
    <mergeCell ref="AE69:AE75"/>
    <mergeCell ref="AI69:AI75"/>
    <mergeCell ref="S77:S85"/>
    <mergeCell ref="T77:T85"/>
    <mergeCell ref="AD77:AD85"/>
    <mergeCell ref="AE77:AE85"/>
    <mergeCell ref="G69:G75"/>
    <mergeCell ref="H69:H75"/>
    <mergeCell ref="I69:I75"/>
    <mergeCell ref="J69:J75"/>
    <mergeCell ref="K69:K75"/>
    <mergeCell ref="L69:L75"/>
    <mergeCell ref="A69:A75"/>
    <mergeCell ref="B69:B75"/>
    <mergeCell ref="C69:C75"/>
    <mergeCell ref="D69:D75"/>
    <mergeCell ref="E69:E75"/>
    <mergeCell ref="F69:F75"/>
    <mergeCell ref="A64:A68"/>
    <mergeCell ref="B64:B68"/>
    <mergeCell ref="C64:C68"/>
    <mergeCell ref="D64:D68"/>
    <mergeCell ref="E64:E68"/>
    <mergeCell ref="F64:F68"/>
    <mergeCell ref="AE64:AE68"/>
    <mergeCell ref="AI64:AI68"/>
    <mergeCell ref="AJ64:AJ68"/>
    <mergeCell ref="M64:M68"/>
    <mergeCell ref="N64:N68"/>
    <mergeCell ref="O64:O68"/>
    <mergeCell ref="P64:P68"/>
    <mergeCell ref="Q64:Q68"/>
    <mergeCell ref="R64:R68"/>
    <mergeCell ref="S64:S68"/>
    <mergeCell ref="T64:T68"/>
    <mergeCell ref="AD64:AD68"/>
    <mergeCell ref="G64:G68"/>
    <mergeCell ref="H64:H68"/>
    <mergeCell ref="I64:I68"/>
    <mergeCell ref="J64:J68"/>
    <mergeCell ref="K64:K68"/>
    <mergeCell ref="L64:L68"/>
    <mergeCell ref="S59:S63"/>
    <mergeCell ref="T59:T63"/>
    <mergeCell ref="AD59:AD63"/>
    <mergeCell ref="AE59:AE63"/>
    <mergeCell ref="J59:J63"/>
    <mergeCell ref="K59:K63"/>
    <mergeCell ref="M59:M63"/>
    <mergeCell ref="N59:N63"/>
    <mergeCell ref="O59:O63"/>
    <mergeCell ref="P59:P63"/>
    <mergeCell ref="AD41:AD57"/>
    <mergeCell ref="AE41:AE58"/>
    <mergeCell ref="A59:A63"/>
    <mergeCell ref="B59:B63"/>
    <mergeCell ref="D59:D63"/>
    <mergeCell ref="E59:E63"/>
    <mergeCell ref="F59:F63"/>
    <mergeCell ref="G59:G63"/>
    <mergeCell ref="H59:H63"/>
    <mergeCell ref="I59:I63"/>
    <mergeCell ref="O41:O58"/>
    <mergeCell ref="P41:P58"/>
    <mergeCell ref="Q41:Q58"/>
    <mergeCell ref="R41:R58"/>
    <mergeCell ref="S41:S58"/>
    <mergeCell ref="T41:T58"/>
    <mergeCell ref="I41:I57"/>
    <mergeCell ref="J41:J58"/>
    <mergeCell ref="K41:K58"/>
    <mergeCell ref="L41:L58"/>
    <mergeCell ref="M41:M58"/>
    <mergeCell ref="N41:N58"/>
    <mergeCell ref="Q59:Q63"/>
    <mergeCell ref="R59:R63"/>
    <mergeCell ref="AD27:AD40"/>
    <mergeCell ref="AE27:AE40"/>
    <mergeCell ref="A41:A58"/>
    <mergeCell ref="B41:B58"/>
    <mergeCell ref="C41:C57"/>
    <mergeCell ref="D41:D57"/>
    <mergeCell ref="E41:E57"/>
    <mergeCell ref="F41:F57"/>
    <mergeCell ref="G41:G57"/>
    <mergeCell ref="H41:H57"/>
    <mergeCell ref="O27:O40"/>
    <mergeCell ref="P27:P40"/>
    <mergeCell ref="Q27:Q40"/>
    <mergeCell ref="R27:R40"/>
    <mergeCell ref="S27:S40"/>
    <mergeCell ref="T27:T40"/>
    <mergeCell ref="H27:H40"/>
    <mergeCell ref="I27:I40"/>
    <mergeCell ref="J27:J40"/>
    <mergeCell ref="K27:K40"/>
    <mergeCell ref="M27:M40"/>
    <mergeCell ref="N27:N40"/>
    <mergeCell ref="A27:A40"/>
    <mergeCell ref="B27:B40"/>
    <mergeCell ref="D27:D40"/>
    <mergeCell ref="E27:E40"/>
    <mergeCell ref="F27:F40"/>
    <mergeCell ref="G27:G40"/>
    <mergeCell ref="AE14:AE24"/>
    <mergeCell ref="AF14:AF15"/>
    <mergeCell ref="D18:D24"/>
    <mergeCell ref="E18:E24"/>
    <mergeCell ref="F18:F24"/>
    <mergeCell ref="G18:G24"/>
    <mergeCell ref="H18:H24"/>
    <mergeCell ref="I18:I24"/>
    <mergeCell ref="AD18:AD24"/>
    <mergeCell ref="AF18:AF19"/>
    <mergeCell ref="P14:P24"/>
    <mergeCell ref="Q14:Q24"/>
    <mergeCell ref="R14:R24"/>
    <mergeCell ref="S14:S24"/>
    <mergeCell ref="T14:T24"/>
    <mergeCell ref="AD14:AD17"/>
    <mergeCell ref="J14:J24"/>
    <mergeCell ref="K14:K24"/>
    <mergeCell ref="L14:L24"/>
    <mergeCell ref="M14:M24"/>
    <mergeCell ref="N14:N24"/>
    <mergeCell ref="O14:O24"/>
    <mergeCell ref="AD11:AD12"/>
    <mergeCell ref="AE11:AE12"/>
    <mergeCell ref="A14:A24"/>
    <mergeCell ref="B14:B24"/>
    <mergeCell ref="D14:D17"/>
    <mergeCell ref="E14:E17"/>
    <mergeCell ref="F14:F17"/>
    <mergeCell ref="G14:G17"/>
    <mergeCell ref="H14:H17"/>
    <mergeCell ref="I14:I17"/>
    <mergeCell ref="O11:O12"/>
    <mergeCell ref="P11:P12"/>
    <mergeCell ref="Q11:Q12"/>
    <mergeCell ref="R11:R12"/>
    <mergeCell ref="S11:S12"/>
    <mergeCell ref="T11:T12"/>
    <mergeCell ref="I11:I12"/>
    <mergeCell ref="J11:J12"/>
    <mergeCell ref="K11:K12"/>
    <mergeCell ref="L11:L12"/>
    <mergeCell ref="M11:M12"/>
    <mergeCell ref="N11:N12"/>
    <mergeCell ref="AK3:AK4"/>
    <mergeCell ref="C4:F4"/>
    <mergeCell ref="G4:K4"/>
    <mergeCell ref="A11:A12"/>
    <mergeCell ref="B11:B12"/>
    <mergeCell ref="D11:D12"/>
    <mergeCell ref="E11:E12"/>
    <mergeCell ref="F11:F12"/>
    <mergeCell ref="G11:G12"/>
    <mergeCell ref="H11:H12"/>
    <mergeCell ref="A1:AE2"/>
    <mergeCell ref="A3:A5"/>
    <mergeCell ref="B3:B5"/>
    <mergeCell ref="C3:K3"/>
    <mergeCell ref="M3:M5"/>
    <mergeCell ref="N3:N5"/>
    <mergeCell ref="O3:O5"/>
    <mergeCell ref="P3:T4"/>
    <mergeCell ref="U3:AD4"/>
    <mergeCell ref="AE3:AE5"/>
  </mergeCells>
  <pageMargins left="0.2" right="0.1" top="0.2" bottom="0.2" header="0.2" footer="0.2"/>
  <pageSetup paperSize="9" scale="45"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201"/>
  <sheetViews>
    <sheetView zoomScale="85" zoomScaleNormal="85" workbookViewId="0">
      <pane xSplit="4" ySplit="7" topLeftCell="M190" activePane="bottomRight" state="frozen"/>
      <selection pane="topRight"/>
      <selection pane="bottomLeft"/>
      <selection pane="bottomRight" activeCell="R5" sqref="R5"/>
    </sheetView>
  </sheetViews>
  <sheetFormatPr defaultColWidth="9" defaultRowHeight="15"/>
  <cols>
    <col min="1" max="1" width="5.42578125" style="129" customWidth="1"/>
    <col min="2" max="2" width="27" style="29" customWidth="1"/>
    <col min="3" max="3" width="6" style="29" hidden="1" customWidth="1"/>
    <col min="4" max="4" width="5.42578125" style="29" customWidth="1"/>
    <col min="5" max="5" width="6.42578125" style="29" customWidth="1"/>
    <col min="6" max="6" width="9.5703125" style="129" customWidth="1"/>
    <col min="7" max="7" width="6.42578125" style="129" customWidth="1"/>
    <col min="8" max="8" width="8.7109375" style="129" customWidth="1"/>
    <col min="9" max="9" width="8.5703125" style="129" customWidth="1"/>
    <col min="10" max="10" width="10" style="129" customWidth="1"/>
    <col min="11" max="11" width="9.140625" style="129" customWidth="1"/>
    <col min="12" max="12" width="6.5703125" style="129" hidden="1" customWidth="1"/>
    <col min="13" max="13" width="8.140625" style="129" customWidth="1"/>
    <col min="14" max="14" width="8.42578125" style="129" customWidth="1"/>
    <col min="15" max="15" width="7.5703125" style="129" customWidth="1"/>
    <col min="16" max="16" width="8.42578125" style="129" customWidth="1"/>
    <col min="17" max="18" width="15.28515625" style="129" customWidth="1"/>
    <col min="19" max="19" width="14.85546875" style="129" customWidth="1"/>
    <col min="20" max="20" width="16" style="129" customWidth="1"/>
    <col min="21" max="21" width="29.7109375" style="29" customWidth="1"/>
    <col min="22" max="22" width="7.7109375" style="129" hidden="1" customWidth="1"/>
    <col min="23" max="23" width="7.85546875" style="129" hidden="1" customWidth="1"/>
    <col min="24" max="24" width="11.85546875" style="129" customWidth="1"/>
    <col min="25" max="25" width="8.7109375" style="29" customWidth="1"/>
    <col min="26" max="26" width="11.140625" style="129" customWidth="1"/>
    <col min="27" max="27" width="0.28515625" style="29" hidden="1" customWidth="1"/>
    <col min="28" max="28" width="9.7109375" style="29" customWidth="1"/>
    <col min="29" max="29" width="14.42578125" style="29" customWidth="1"/>
    <col min="30" max="30" width="14.5703125" style="129" customWidth="1"/>
    <col min="31" max="31" width="15.28515625" style="108" customWidth="1"/>
    <col min="32" max="32" width="16.140625" style="29" hidden="1" customWidth="1"/>
    <col min="33" max="33" width="16" style="29" hidden="1" customWidth="1"/>
    <col min="34" max="34" width="14" style="29" hidden="1" customWidth="1"/>
    <col min="35" max="35" width="17.42578125" style="29" customWidth="1"/>
    <col min="36" max="36" width="17.28515625" style="29" customWidth="1"/>
    <col min="37" max="37" width="18.140625" style="29" customWidth="1"/>
    <col min="38" max="16384" width="9" style="2"/>
  </cols>
  <sheetData>
    <row r="1" spans="1:37" ht="32.25" customHeight="1">
      <c r="A1" s="290" t="s">
        <v>685</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row>
    <row r="2" spans="1:37" ht="32.2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7" ht="21.75" customHeight="1">
      <c r="A3" s="288" t="s">
        <v>4</v>
      </c>
      <c r="B3" s="288" t="s">
        <v>613</v>
      </c>
      <c r="C3" s="288" t="s">
        <v>377</v>
      </c>
      <c r="D3" s="288"/>
      <c r="E3" s="288"/>
      <c r="F3" s="288"/>
      <c r="G3" s="288"/>
      <c r="H3" s="288"/>
      <c r="I3" s="288"/>
      <c r="J3" s="288"/>
      <c r="K3" s="288"/>
      <c r="L3" s="125"/>
      <c r="M3" s="288" t="s">
        <v>378</v>
      </c>
      <c r="N3" s="251" t="s">
        <v>379</v>
      </c>
      <c r="O3" s="251" t="s">
        <v>20</v>
      </c>
      <c r="P3" s="288" t="s">
        <v>380</v>
      </c>
      <c r="Q3" s="288"/>
      <c r="R3" s="288"/>
      <c r="S3" s="288"/>
      <c r="T3" s="288"/>
      <c r="U3" s="288" t="s">
        <v>381</v>
      </c>
      <c r="V3" s="288"/>
      <c r="W3" s="288"/>
      <c r="X3" s="288"/>
      <c r="Y3" s="288"/>
      <c r="Z3" s="288"/>
      <c r="AA3" s="288"/>
      <c r="AB3" s="288"/>
      <c r="AC3" s="288"/>
      <c r="AD3" s="288"/>
      <c r="AE3" s="288" t="s">
        <v>382</v>
      </c>
      <c r="AK3" s="287" t="s">
        <v>652</v>
      </c>
    </row>
    <row r="4" spans="1:37" ht="28.5" customHeight="1">
      <c r="A4" s="288"/>
      <c r="B4" s="288"/>
      <c r="C4" s="288" t="s">
        <v>383</v>
      </c>
      <c r="D4" s="288"/>
      <c r="E4" s="288"/>
      <c r="F4" s="288"/>
      <c r="G4" s="288" t="s">
        <v>384</v>
      </c>
      <c r="H4" s="288"/>
      <c r="I4" s="288"/>
      <c r="J4" s="288"/>
      <c r="K4" s="288"/>
      <c r="L4" s="125"/>
      <c r="M4" s="288"/>
      <c r="N4" s="251"/>
      <c r="O4" s="251"/>
      <c r="P4" s="288"/>
      <c r="Q4" s="288"/>
      <c r="R4" s="288"/>
      <c r="S4" s="288"/>
      <c r="T4" s="288"/>
      <c r="U4" s="288"/>
      <c r="V4" s="288"/>
      <c r="W4" s="288"/>
      <c r="X4" s="288"/>
      <c r="Y4" s="288"/>
      <c r="Z4" s="288"/>
      <c r="AA4" s="288"/>
      <c r="AB4" s="288"/>
      <c r="AC4" s="288"/>
      <c r="AD4" s="288"/>
      <c r="AE4" s="288"/>
      <c r="AF4" s="31"/>
      <c r="AK4" s="287"/>
    </row>
    <row r="5" spans="1:37" ht="92.25" customHeight="1">
      <c r="A5" s="288"/>
      <c r="B5" s="288"/>
      <c r="C5" s="125" t="s">
        <v>385</v>
      </c>
      <c r="D5" s="125" t="s">
        <v>13</v>
      </c>
      <c r="E5" s="125" t="s">
        <v>14</v>
      </c>
      <c r="F5" s="125" t="s">
        <v>621</v>
      </c>
      <c r="G5" s="125" t="s">
        <v>16</v>
      </c>
      <c r="H5" s="116" t="s">
        <v>620</v>
      </c>
      <c r="I5" s="33" t="s">
        <v>619</v>
      </c>
      <c r="J5" s="116" t="s">
        <v>386</v>
      </c>
      <c r="K5" s="116" t="s">
        <v>618</v>
      </c>
      <c r="L5" s="125" t="s">
        <v>19</v>
      </c>
      <c r="M5" s="288"/>
      <c r="N5" s="251"/>
      <c r="O5" s="251"/>
      <c r="P5" s="116" t="s">
        <v>387</v>
      </c>
      <c r="Q5" s="116" t="s">
        <v>388</v>
      </c>
      <c r="R5" s="116" t="s">
        <v>389</v>
      </c>
      <c r="S5" s="116" t="s">
        <v>390</v>
      </c>
      <c r="T5" s="116" t="s">
        <v>391</v>
      </c>
      <c r="U5" s="125" t="s">
        <v>21</v>
      </c>
      <c r="V5" s="125" t="s">
        <v>406</v>
      </c>
      <c r="W5" s="125" t="s">
        <v>557</v>
      </c>
      <c r="X5" s="125" t="s">
        <v>22</v>
      </c>
      <c r="Y5" s="116" t="s">
        <v>23</v>
      </c>
      <c r="Z5" s="116" t="s">
        <v>5</v>
      </c>
      <c r="AA5" s="125" t="s">
        <v>24</v>
      </c>
      <c r="AB5" s="125" t="s">
        <v>25</v>
      </c>
      <c r="AC5" s="116" t="s">
        <v>392</v>
      </c>
      <c r="AD5" s="116" t="s">
        <v>393</v>
      </c>
      <c r="AE5" s="288"/>
      <c r="AF5" s="31"/>
    </row>
    <row r="6" spans="1:37" ht="15.75" customHeight="1">
      <c r="A6" s="125"/>
      <c r="B6" s="34"/>
      <c r="C6" s="125"/>
      <c r="D6" s="125"/>
      <c r="E6" s="125"/>
      <c r="F6" s="125"/>
      <c r="G6" s="125"/>
      <c r="H6" s="116"/>
      <c r="I6" s="33"/>
      <c r="J6" s="118"/>
      <c r="K6" s="118"/>
      <c r="L6" s="125"/>
      <c r="M6" s="125"/>
      <c r="N6" s="116"/>
      <c r="O6" s="116"/>
      <c r="P6" s="116">
        <v>80000</v>
      </c>
      <c r="Q6" s="116"/>
      <c r="R6" s="116">
        <f>P6*3</f>
        <v>240000</v>
      </c>
      <c r="S6" s="116">
        <f>17000*30</f>
        <v>510000</v>
      </c>
      <c r="T6" s="116"/>
      <c r="U6" s="36"/>
      <c r="V6" s="125"/>
      <c r="W6" s="125"/>
      <c r="X6" s="125"/>
      <c r="Y6" s="116"/>
      <c r="Z6" s="116"/>
      <c r="AA6" s="125"/>
      <c r="AB6" s="125"/>
      <c r="AC6" s="116"/>
      <c r="AD6" s="116"/>
      <c r="AE6" s="125"/>
      <c r="AF6" s="31"/>
    </row>
    <row r="7" spans="1:37" s="113" customFormat="1" ht="15.75">
      <c r="A7" s="125">
        <v>1</v>
      </c>
      <c r="B7" s="125">
        <v>2</v>
      </c>
      <c r="C7" s="125"/>
      <c r="D7" s="125">
        <v>3</v>
      </c>
      <c r="E7" s="125">
        <v>4</v>
      </c>
      <c r="F7" s="125">
        <v>5</v>
      </c>
      <c r="G7" s="125">
        <v>6</v>
      </c>
      <c r="H7" s="116">
        <v>7</v>
      </c>
      <c r="I7" s="116">
        <v>8</v>
      </c>
      <c r="J7" s="118">
        <v>9</v>
      </c>
      <c r="K7" s="118">
        <v>10</v>
      </c>
      <c r="L7" s="125"/>
      <c r="M7" s="125">
        <v>11</v>
      </c>
      <c r="N7" s="116">
        <v>12</v>
      </c>
      <c r="O7" s="116">
        <v>13</v>
      </c>
      <c r="P7" s="116">
        <v>14</v>
      </c>
      <c r="Q7" s="116">
        <v>15</v>
      </c>
      <c r="R7" s="116">
        <v>16</v>
      </c>
      <c r="S7" s="116">
        <v>17</v>
      </c>
      <c r="T7" s="116">
        <v>18</v>
      </c>
      <c r="U7" s="125">
        <v>19</v>
      </c>
      <c r="V7" s="125"/>
      <c r="W7" s="125"/>
      <c r="X7" s="125">
        <v>20</v>
      </c>
      <c r="Y7" s="116">
        <v>21</v>
      </c>
      <c r="Z7" s="116">
        <v>22</v>
      </c>
      <c r="AA7" s="125">
        <v>23</v>
      </c>
      <c r="AB7" s="125">
        <v>24</v>
      </c>
      <c r="AC7" s="116">
        <v>25</v>
      </c>
      <c r="AD7" s="116">
        <v>26</v>
      </c>
      <c r="AE7" s="125" t="s">
        <v>394</v>
      </c>
      <c r="AF7" s="130"/>
      <c r="AG7" s="129"/>
      <c r="AH7" s="129"/>
      <c r="AI7" s="129"/>
      <c r="AJ7" s="129"/>
      <c r="AK7" s="129"/>
    </row>
    <row r="8" spans="1:37" s="14" customFormat="1" ht="25.5" customHeight="1">
      <c r="A8" s="125"/>
      <c r="B8" s="34" t="s">
        <v>612</v>
      </c>
      <c r="C8" s="34"/>
      <c r="D8" s="34"/>
      <c r="E8" s="34"/>
      <c r="F8" s="125"/>
      <c r="G8" s="125"/>
      <c r="H8" s="125"/>
      <c r="I8" s="125"/>
      <c r="J8" s="117"/>
      <c r="K8" s="117"/>
      <c r="L8" s="125"/>
      <c r="M8" s="125"/>
      <c r="N8" s="125"/>
      <c r="O8" s="125"/>
      <c r="P8" s="125"/>
      <c r="Q8" s="125"/>
      <c r="R8" s="125"/>
      <c r="S8" s="125"/>
      <c r="T8" s="125"/>
      <c r="U8" s="34"/>
      <c r="V8" s="125"/>
      <c r="W8" s="125"/>
      <c r="X8" s="125"/>
      <c r="Y8" s="34"/>
      <c r="Z8" s="125"/>
      <c r="AA8" s="34"/>
      <c r="AB8" s="34"/>
      <c r="AC8" s="34"/>
      <c r="AD8" s="125"/>
      <c r="AE8" s="125"/>
      <c r="AF8" s="40"/>
      <c r="AG8" s="40"/>
      <c r="AH8" s="40"/>
      <c r="AI8" s="40"/>
      <c r="AJ8" s="40"/>
      <c r="AK8" s="40"/>
    </row>
    <row r="9" spans="1:37" s="24" customFormat="1" ht="43.5" customHeight="1">
      <c r="A9" s="41">
        <v>1</v>
      </c>
      <c r="B9" s="42" t="s">
        <v>581</v>
      </c>
      <c r="C9" s="43"/>
      <c r="D9" s="44">
        <v>64</v>
      </c>
      <c r="E9" s="44">
        <v>384</v>
      </c>
      <c r="F9" s="44">
        <v>217.6</v>
      </c>
      <c r="G9" s="44" t="s">
        <v>397</v>
      </c>
      <c r="H9" s="44">
        <v>216</v>
      </c>
      <c r="I9" s="44">
        <f>F9-H9</f>
        <v>1.5999999999999943</v>
      </c>
      <c r="J9" s="46">
        <v>216</v>
      </c>
      <c r="K9" s="45">
        <v>756</v>
      </c>
      <c r="L9" s="45"/>
      <c r="M9" s="46">
        <f>J9/K9*100</f>
        <v>28.571428571428569</v>
      </c>
      <c r="N9" s="47">
        <f>IF(M9&lt;10,2,IF(M9&lt;20,3,IF(M9&lt;30,5,IF(M9&gt;=70,12,IF(M9&gt;=30,6)))))</f>
        <v>5</v>
      </c>
      <c r="O9" s="47">
        <v>5</v>
      </c>
      <c r="P9" s="123">
        <f>$P$6</f>
        <v>80000</v>
      </c>
      <c r="Q9" s="123">
        <f>H9*P9</f>
        <v>17280000</v>
      </c>
      <c r="R9" s="123">
        <f>Q9*3</f>
        <v>51840000</v>
      </c>
      <c r="S9" s="123">
        <f>N9*O9*17000*30</f>
        <v>12750000</v>
      </c>
      <c r="T9" s="123">
        <f>S9+R9+Q9</f>
        <v>81870000</v>
      </c>
      <c r="U9" s="124" t="s">
        <v>591</v>
      </c>
      <c r="V9" s="41"/>
      <c r="W9" s="41"/>
      <c r="X9" s="50" t="s">
        <v>0</v>
      </c>
      <c r="Y9" s="44">
        <v>216</v>
      </c>
      <c r="Z9" s="47">
        <v>97000</v>
      </c>
      <c r="AA9" s="43"/>
      <c r="AB9" s="51">
        <v>1</v>
      </c>
      <c r="AC9" s="52">
        <f>Y9*Z9*AB9</f>
        <v>20952000</v>
      </c>
      <c r="AD9" s="47">
        <f>AC9</f>
        <v>20952000</v>
      </c>
      <c r="AE9" s="53">
        <f>AD9+T9</f>
        <v>102822000</v>
      </c>
      <c r="AF9" s="54"/>
      <c r="AG9" s="55"/>
      <c r="AH9" s="55"/>
      <c r="AI9" s="55"/>
      <c r="AJ9" s="55"/>
      <c r="AK9" s="55"/>
    </row>
    <row r="10" spans="1:37" s="24" customFormat="1" ht="43.5" customHeight="1">
      <c r="A10" s="44">
        <v>2</v>
      </c>
      <c r="B10" s="42" t="s">
        <v>582</v>
      </c>
      <c r="C10" s="43"/>
      <c r="D10" s="44">
        <v>64</v>
      </c>
      <c r="E10" s="44">
        <v>379</v>
      </c>
      <c r="F10" s="44">
        <v>216.1</v>
      </c>
      <c r="G10" s="44" t="s">
        <v>397</v>
      </c>
      <c r="H10" s="44">
        <v>216</v>
      </c>
      <c r="I10" s="44">
        <f>F10-H10</f>
        <v>9.9999999999994316E-2</v>
      </c>
      <c r="J10" s="46">
        <v>216</v>
      </c>
      <c r="K10" s="45">
        <v>756</v>
      </c>
      <c r="L10" s="45"/>
      <c r="M10" s="46">
        <f>J10/K10*100</f>
        <v>28.571428571428569</v>
      </c>
      <c r="N10" s="47">
        <f>IF(M10&lt;10,2,IF(M10&lt;20,3,IF(M10&lt;30,5,IF(M10&gt;=70,12,IF(M10&gt;=30,6)))))</f>
        <v>5</v>
      </c>
      <c r="O10" s="47">
        <v>3</v>
      </c>
      <c r="P10" s="123">
        <f>$P$6</f>
        <v>80000</v>
      </c>
      <c r="Q10" s="123">
        <f>H10*P10</f>
        <v>17280000</v>
      </c>
      <c r="R10" s="123">
        <f>Q10*3</f>
        <v>51840000</v>
      </c>
      <c r="S10" s="123">
        <f>N10*O10*17000*30</f>
        <v>7650000</v>
      </c>
      <c r="T10" s="123">
        <f>S10+R10+Q10</f>
        <v>76770000</v>
      </c>
      <c r="U10" s="124" t="s">
        <v>591</v>
      </c>
      <c r="V10" s="41"/>
      <c r="W10" s="41"/>
      <c r="X10" s="50" t="s">
        <v>0</v>
      </c>
      <c r="Y10" s="44">
        <v>216</v>
      </c>
      <c r="Z10" s="47">
        <v>97000</v>
      </c>
      <c r="AA10" s="43"/>
      <c r="AB10" s="51">
        <v>1</v>
      </c>
      <c r="AC10" s="52">
        <f>Y10*Z10*AB10</f>
        <v>20952000</v>
      </c>
      <c r="AD10" s="47">
        <f>AC10</f>
        <v>20952000</v>
      </c>
      <c r="AE10" s="53">
        <f>AD10+T10</f>
        <v>97722000</v>
      </c>
      <c r="AF10" s="54"/>
      <c r="AG10" s="55"/>
      <c r="AH10" s="55"/>
      <c r="AI10" s="55"/>
      <c r="AJ10" s="55"/>
      <c r="AK10" s="55"/>
    </row>
    <row r="11" spans="1:37" s="25" customFormat="1" ht="43.5" customHeight="1">
      <c r="A11" s="262">
        <v>3</v>
      </c>
      <c r="B11" s="271" t="s">
        <v>614</v>
      </c>
      <c r="C11" s="56"/>
      <c r="D11" s="279">
        <v>65</v>
      </c>
      <c r="E11" s="289">
        <v>34</v>
      </c>
      <c r="F11" s="289">
        <v>360</v>
      </c>
      <c r="G11" s="279" t="s">
        <v>397</v>
      </c>
      <c r="H11" s="262">
        <v>360</v>
      </c>
      <c r="I11" s="274">
        <f>F11-H11</f>
        <v>0</v>
      </c>
      <c r="J11" s="269">
        <v>360</v>
      </c>
      <c r="K11" s="262">
        <v>360</v>
      </c>
      <c r="L11" s="262"/>
      <c r="M11" s="269">
        <f>J11/K11*100</f>
        <v>100</v>
      </c>
      <c r="N11" s="264">
        <f>IF(M11&lt;10,2,IF(M11&lt;20,3,IF(M11&lt;30,5,IF(M11&gt;=70,12,IF(M11&gt;=30,6)))))</f>
        <v>12</v>
      </c>
      <c r="O11" s="264">
        <v>4</v>
      </c>
      <c r="P11" s="264">
        <f>$P$6</f>
        <v>80000</v>
      </c>
      <c r="Q11" s="264">
        <f>K11*P11</f>
        <v>28800000</v>
      </c>
      <c r="R11" s="264">
        <f>Q11*3</f>
        <v>86400000</v>
      </c>
      <c r="S11" s="264">
        <f>N11*O11*17000*30</f>
        <v>24480000</v>
      </c>
      <c r="T11" s="264">
        <f>S11+R11+Q11</f>
        <v>139680000</v>
      </c>
      <c r="U11" s="124" t="s">
        <v>591</v>
      </c>
      <c r="V11" s="117"/>
      <c r="W11" s="117"/>
      <c r="X11" s="50" t="s">
        <v>0</v>
      </c>
      <c r="Y11" s="123">
        <v>360</v>
      </c>
      <c r="Z11" s="123">
        <v>97000</v>
      </c>
      <c r="AA11" s="56"/>
      <c r="AB11" s="57">
        <v>1</v>
      </c>
      <c r="AC11" s="118">
        <f t="shared" ref="AC11:AC13" si="0">Y11*Z11*AB11</f>
        <v>34920000</v>
      </c>
      <c r="AD11" s="264">
        <f>AC11+AC12</f>
        <v>34920000</v>
      </c>
      <c r="AE11" s="268">
        <f>AD11+T11</f>
        <v>174600000</v>
      </c>
      <c r="AF11" s="58"/>
      <c r="AG11" s="59"/>
      <c r="AH11" s="59"/>
      <c r="AI11" s="59"/>
      <c r="AJ11" s="59"/>
      <c r="AK11" s="59"/>
    </row>
    <row r="12" spans="1:37" s="25" customFormat="1" ht="43.5" customHeight="1">
      <c r="A12" s="262"/>
      <c r="B12" s="271"/>
      <c r="C12" s="56"/>
      <c r="D12" s="279"/>
      <c r="E12" s="289"/>
      <c r="F12" s="289"/>
      <c r="G12" s="279"/>
      <c r="H12" s="262"/>
      <c r="I12" s="276"/>
      <c r="J12" s="269"/>
      <c r="K12" s="262"/>
      <c r="L12" s="262"/>
      <c r="M12" s="269"/>
      <c r="N12" s="264"/>
      <c r="O12" s="264"/>
      <c r="P12" s="264"/>
      <c r="Q12" s="264"/>
      <c r="R12" s="264"/>
      <c r="S12" s="264"/>
      <c r="T12" s="264"/>
      <c r="U12" s="124" t="s">
        <v>598</v>
      </c>
      <c r="V12" s="117"/>
      <c r="W12" s="117"/>
      <c r="X12" s="119" t="s">
        <v>628</v>
      </c>
      <c r="Y12" s="114">
        <v>19.95</v>
      </c>
      <c r="Z12" s="62">
        <v>0</v>
      </c>
      <c r="AA12" s="56"/>
      <c r="AB12" s="118">
        <v>0</v>
      </c>
      <c r="AC12" s="118">
        <f t="shared" si="0"/>
        <v>0</v>
      </c>
      <c r="AD12" s="262"/>
      <c r="AE12" s="283"/>
      <c r="AF12" s="58"/>
      <c r="AG12" s="59"/>
      <c r="AH12" s="59"/>
      <c r="AI12" s="59"/>
      <c r="AJ12" s="59"/>
      <c r="AK12" s="59"/>
    </row>
    <row r="13" spans="1:37" s="25" customFormat="1" ht="43.5" customHeight="1">
      <c r="A13" s="119">
        <v>4</v>
      </c>
      <c r="B13" s="124" t="s">
        <v>585</v>
      </c>
      <c r="C13" s="56"/>
      <c r="D13" s="128">
        <v>65</v>
      </c>
      <c r="E13" s="128">
        <v>12</v>
      </c>
      <c r="F13" s="128">
        <v>288</v>
      </c>
      <c r="G13" s="128" t="s">
        <v>397</v>
      </c>
      <c r="H13" s="119">
        <v>288</v>
      </c>
      <c r="I13" s="119">
        <f>F13-H13</f>
        <v>0</v>
      </c>
      <c r="J13" s="122">
        <v>288</v>
      </c>
      <c r="K13" s="119">
        <v>288</v>
      </c>
      <c r="L13" s="119"/>
      <c r="M13" s="122">
        <f>J13/K13*100</f>
        <v>100</v>
      </c>
      <c r="N13" s="123">
        <f>IF(M13&lt;10,2,IF(M13&lt;20,3,IF(M13&lt;30,5,IF(M13&gt;=70,12,IF(M13&gt;=30,6)))))</f>
        <v>12</v>
      </c>
      <c r="O13" s="123">
        <v>4</v>
      </c>
      <c r="P13" s="123">
        <f>$P$6</f>
        <v>80000</v>
      </c>
      <c r="Q13" s="123">
        <f>K13*P13</f>
        <v>23040000</v>
      </c>
      <c r="R13" s="123">
        <f>Q13*3</f>
        <v>69120000</v>
      </c>
      <c r="S13" s="123">
        <f>N13*O13*17000*30</f>
        <v>24480000</v>
      </c>
      <c r="T13" s="123">
        <f>S13+R13+Q13</f>
        <v>116640000</v>
      </c>
      <c r="U13" s="65" t="s">
        <v>623</v>
      </c>
      <c r="V13" s="50"/>
      <c r="W13" s="50"/>
      <c r="X13" s="50" t="s">
        <v>0</v>
      </c>
      <c r="Y13" s="123">
        <v>288</v>
      </c>
      <c r="Z13" s="62">
        <v>63000</v>
      </c>
      <c r="AA13" s="56"/>
      <c r="AB13" s="57">
        <v>1</v>
      </c>
      <c r="AC13" s="118">
        <f t="shared" si="0"/>
        <v>18144000</v>
      </c>
      <c r="AD13" s="123">
        <f>AC13</f>
        <v>18144000</v>
      </c>
      <c r="AE13" s="121">
        <f>AD13+T13</f>
        <v>134784000</v>
      </c>
      <c r="AF13" s="58"/>
      <c r="AG13" s="59"/>
      <c r="AH13" s="59"/>
      <c r="AI13" s="59"/>
      <c r="AJ13" s="59"/>
      <c r="AK13" s="59"/>
    </row>
    <row r="14" spans="1:37" s="25" customFormat="1" ht="34.5" customHeight="1">
      <c r="A14" s="262">
        <v>5</v>
      </c>
      <c r="B14" s="258" t="s">
        <v>586</v>
      </c>
      <c r="C14" s="56"/>
      <c r="D14" s="279">
        <v>64</v>
      </c>
      <c r="E14" s="279">
        <v>391</v>
      </c>
      <c r="F14" s="279">
        <v>252.1</v>
      </c>
      <c r="G14" s="279" t="s">
        <v>28</v>
      </c>
      <c r="H14" s="279">
        <v>252</v>
      </c>
      <c r="I14" s="284">
        <f>F14-H14</f>
        <v>9.9999999999994316E-2</v>
      </c>
      <c r="J14" s="280">
        <f>H14+H18</f>
        <v>612</v>
      </c>
      <c r="K14" s="262">
        <v>612</v>
      </c>
      <c r="L14" s="262"/>
      <c r="M14" s="262">
        <f>J14/K14*100</f>
        <v>100</v>
      </c>
      <c r="N14" s="262">
        <v>12</v>
      </c>
      <c r="O14" s="262">
        <v>7</v>
      </c>
      <c r="P14" s="264">
        <v>80000</v>
      </c>
      <c r="Q14" s="264">
        <f>P14*K14</f>
        <v>48960000</v>
      </c>
      <c r="R14" s="264">
        <f>Q14*3</f>
        <v>146880000</v>
      </c>
      <c r="S14" s="264">
        <f>N14*O14*17000*30</f>
        <v>42840000</v>
      </c>
      <c r="T14" s="264">
        <f>SUM(Q14:S24)</f>
        <v>238680000</v>
      </c>
      <c r="U14" s="65" t="s">
        <v>622</v>
      </c>
      <c r="V14" s="50">
        <v>25</v>
      </c>
      <c r="W14" s="50">
        <f>H14/V14</f>
        <v>10.08</v>
      </c>
      <c r="X14" s="119" t="str">
        <f>'[2]bang gia'!$C$46</f>
        <v>đồng/cây</v>
      </c>
      <c r="Y14" s="123">
        <v>13</v>
      </c>
      <c r="Z14" s="123"/>
      <c r="AA14" s="56"/>
      <c r="AB14" s="117"/>
      <c r="AC14" s="118"/>
      <c r="AD14" s="264">
        <f>SUM(AC14:AC17)</f>
        <v>51750000</v>
      </c>
      <c r="AE14" s="268">
        <f>T14+AD14+AD18</f>
        <v>362430000</v>
      </c>
      <c r="AF14" s="278" t="s">
        <v>415</v>
      </c>
      <c r="AG14" s="59"/>
      <c r="AH14" s="59"/>
      <c r="AI14" s="59"/>
      <c r="AJ14" s="59"/>
      <c r="AK14" s="59"/>
    </row>
    <row r="15" spans="1:37" s="25" customFormat="1" ht="27" customHeight="1">
      <c r="A15" s="262"/>
      <c r="B15" s="258"/>
      <c r="C15" s="56"/>
      <c r="D15" s="279"/>
      <c r="E15" s="279"/>
      <c r="F15" s="279"/>
      <c r="G15" s="279"/>
      <c r="H15" s="279"/>
      <c r="I15" s="285"/>
      <c r="J15" s="281"/>
      <c r="K15" s="262"/>
      <c r="L15" s="262"/>
      <c r="M15" s="262"/>
      <c r="N15" s="262"/>
      <c r="O15" s="262"/>
      <c r="P15" s="264"/>
      <c r="Q15" s="264"/>
      <c r="R15" s="264"/>
      <c r="S15" s="264"/>
      <c r="T15" s="264"/>
      <c r="U15" s="67" t="s">
        <v>421</v>
      </c>
      <c r="V15" s="50"/>
      <c r="W15" s="50"/>
      <c r="X15" s="119" t="str">
        <f>'[2]bang gia'!$C$46</f>
        <v>đồng/cây</v>
      </c>
      <c r="Y15" s="123">
        <v>10</v>
      </c>
      <c r="Z15" s="123">
        <f>'[2]bang gia'!$D$46</f>
        <v>4500000</v>
      </c>
      <c r="AA15" s="56"/>
      <c r="AB15" s="68">
        <v>1</v>
      </c>
      <c r="AC15" s="118">
        <f>Y15*Z15*AB15</f>
        <v>45000000</v>
      </c>
      <c r="AD15" s="262"/>
      <c r="AE15" s="268"/>
      <c r="AF15" s="278"/>
      <c r="AG15" s="59"/>
      <c r="AH15" s="59"/>
      <c r="AI15" s="59"/>
      <c r="AJ15" s="59"/>
      <c r="AK15" s="59"/>
    </row>
    <row r="16" spans="1:37" s="25" customFormat="1" ht="27" customHeight="1">
      <c r="A16" s="262"/>
      <c r="B16" s="258"/>
      <c r="C16" s="56"/>
      <c r="D16" s="279"/>
      <c r="E16" s="279"/>
      <c r="F16" s="279"/>
      <c r="G16" s="279"/>
      <c r="H16" s="279"/>
      <c r="I16" s="285"/>
      <c r="J16" s="281"/>
      <c r="K16" s="262"/>
      <c r="L16" s="262"/>
      <c r="M16" s="262"/>
      <c r="N16" s="262"/>
      <c r="O16" s="262"/>
      <c r="P16" s="264"/>
      <c r="Q16" s="264"/>
      <c r="R16" s="264"/>
      <c r="S16" s="264"/>
      <c r="T16" s="264"/>
      <c r="U16" s="67" t="s">
        <v>423</v>
      </c>
      <c r="V16" s="50"/>
      <c r="W16" s="50">
        <f>0.3*W14</f>
        <v>3.024</v>
      </c>
      <c r="X16" s="119" t="str">
        <f>'[2]bang gia'!$C$46</f>
        <v>đồng/cây</v>
      </c>
      <c r="Y16" s="123">
        <v>3</v>
      </c>
      <c r="Z16" s="123">
        <f>'[2]bang gia'!$D$46</f>
        <v>4500000</v>
      </c>
      <c r="AA16" s="56"/>
      <c r="AB16" s="57">
        <v>0.5</v>
      </c>
      <c r="AC16" s="118">
        <f>Y16*Z16*AB16</f>
        <v>6750000</v>
      </c>
      <c r="AD16" s="262"/>
      <c r="AE16" s="268"/>
      <c r="AF16" s="58"/>
      <c r="AG16" s="59"/>
      <c r="AH16" s="59"/>
      <c r="AI16" s="59"/>
      <c r="AJ16" s="59"/>
      <c r="AK16" s="59"/>
    </row>
    <row r="17" spans="1:37" s="25" customFormat="1" ht="27" customHeight="1">
      <c r="A17" s="262"/>
      <c r="B17" s="258"/>
      <c r="C17" s="56"/>
      <c r="D17" s="279"/>
      <c r="E17" s="279"/>
      <c r="F17" s="279"/>
      <c r="G17" s="279"/>
      <c r="H17" s="279"/>
      <c r="I17" s="286"/>
      <c r="J17" s="281"/>
      <c r="K17" s="262"/>
      <c r="L17" s="262"/>
      <c r="M17" s="262"/>
      <c r="N17" s="262"/>
      <c r="O17" s="262"/>
      <c r="P17" s="264"/>
      <c r="Q17" s="264"/>
      <c r="R17" s="264"/>
      <c r="S17" s="264"/>
      <c r="T17" s="264"/>
      <c r="U17" s="124" t="s">
        <v>600</v>
      </c>
      <c r="V17" s="117"/>
      <c r="W17" s="117"/>
      <c r="X17" s="119" t="s">
        <v>628</v>
      </c>
      <c r="Y17" s="114">
        <v>0.3</v>
      </c>
      <c r="Z17" s="117"/>
      <c r="AA17" s="56"/>
      <c r="AB17" s="57">
        <v>0</v>
      </c>
      <c r="AC17" s="119">
        <f>Y17*Z17*AB17</f>
        <v>0</v>
      </c>
      <c r="AD17" s="262"/>
      <c r="AE17" s="268"/>
      <c r="AF17" s="58"/>
      <c r="AG17" s="59"/>
      <c r="AH17" s="59"/>
      <c r="AI17" s="59"/>
      <c r="AJ17" s="59"/>
      <c r="AK17" s="59"/>
    </row>
    <row r="18" spans="1:37" s="25" customFormat="1" ht="33.75" customHeight="1">
      <c r="A18" s="262"/>
      <c r="B18" s="258"/>
      <c r="C18" s="56"/>
      <c r="D18" s="279">
        <v>64</v>
      </c>
      <c r="E18" s="279">
        <v>345</v>
      </c>
      <c r="F18" s="279">
        <v>359.5</v>
      </c>
      <c r="G18" s="279" t="s">
        <v>28</v>
      </c>
      <c r="H18" s="262">
        <v>360</v>
      </c>
      <c r="I18" s="274">
        <f>F18-H18</f>
        <v>-0.5</v>
      </c>
      <c r="J18" s="281"/>
      <c r="K18" s="262"/>
      <c r="L18" s="262"/>
      <c r="M18" s="262"/>
      <c r="N18" s="262"/>
      <c r="O18" s="262"/>
      <c r="P18" s="264"/>
      <c r="Q18" s="264"/>
      <c r="R18" s="264"/>
      <c r="S18" s="264"/>
      <c r="T18" s="264"/>
      <c r="U18" s="65" t="s">
        <v>465</v>
      </c>
      <c r="V18" s="50">
        <v>25</v>
      </c>
      <c r="W18" s="50">
        <f>H18/V18</f>
        <v>14.4</v>
      </c>
      <c r="X18" s="119" t="str">
        <f>'[1]bang gia'!$C$46</f>
        <v>đồng/cây</v>
      </c>
      <c r="Y18" s="123">
        <v>20</v>
      </c>
      <c r="Z18" s="123"/>
      <c r="AA18" s="56"/>
      <c r="AB18" s="119"/>
      <c r="AC18" s="118"/>
      <c r="AD18" s="264">
        <f>SUM(AC18:AC24)</f>
        <v>72000000</v>
      </c>
      <c r="AE18" s="268"/>
      <c r="AF18" s="278" t="s">
        <v>415</v>
      </c>
      <c r="AG18" s="59"/>
      <c r="AH18" s="59"/>
      <c r="AI18" s="59"/>
      <c r="AJ18" s="59"/>
      <c r="AK18" s="59"/>
    </row>
    <row r="19" spans="1:37" s="25" customFormat="1" ht="22.5" customHeight="1">
      <c r="A19" s="262"/>
      <c r="B19" s="258"/>
      <c r="C19" s="56"/>
      <c r="D19" s="279"/>
      <c r="E19" s="279"/>
      <c r="F19" s="279"/>
      <c r="G19" s="279"/>
      <c r="H19" s="262"/>
      <c r="I19" s="275"/>
      <c r="J19" s="281"/>
      <c r="K19" s="262"/>
      <c r="L19" s="262"/>
      <c r="M19" s="262"/>
      <c r="N19" s="262"/>
      <c r="O19" s="262"/>
      <c r="P19" s="264"/>
      <c r="Q19" s="264"/>
      <c r="R19" s="264"/>
      <c r="S19" s="264"/>
      <c r="T19" s="264"/>
      <c r="U19" s="67" t="s">
        <v>421</v>
      </c>
      <c r="V19" s="50"/>
      <c r="W19" s="50"/>
      <c r="X19" s="119" t="str">
        <f>'[1]bang gia'!$C$46</f>
        <v>đồng/cây</v>
      </c>
      <c r="Y19" s="123">
        <v>14</v>
      </c>
      <c r="Z19" s="123">
        <f>'[1]bang gia'!$D$46</f>
        <v>4500000</v>
      </c>
      <c r="AA19" s="56"/>
      <c r="AB19" s="57">
        <v>1</v>
      </c>
      <c r="AC19" s="118">
        <f t="shared" ref="AC19:AC21" si="1">Y19*Z19*AB19</f>
        <v>63000000</v>
      </c>
      <c r="AD19" s="264"/>
      <c r="AE19" s="268"/>
      <c r="AF19" s="278"/>
      <c r="AG19" s="59"/>
      <c r="AH19" s="59"/>
      <c r="AI19" s="59"/>
      <c r="AJ19" s="59"/>
      <c r="AK19" s="59"/>
    </row>
    <row r="20" spans="1:37" s="25" customFormat="1" ht="22.5" customHeight="1">
      <c r="A20" s="262"/>
      <c r="B20" s="258"/>
      <c r="C20" s="56"/>
      <c r="D20" s="279"/>
      <c r="E20" s="279"/>
      <c r="F20" s="279"/>
      <c r="G20" s="279"/>
      <c r="H20" s="262"/>
      <c r="I20" s="275"/>
      <c r="J20" s="281"/>
      <c r="K20" s="262"/>
      <c r="L20" s="262"/>
      <c r="M20" s="262"/>
      <c r="N20" s="262"/>
      <c r="O20" s="262"/>
      <c r="P20" s="264"/>
      <c r="Q20" s="264"/>
      <c r="R20" s="264"/>
      <c r="S20" s="264"/>
      <c r="T20" s="264"/>
      <c r="U20" s="67" t="s">
        <v>423</v>
      </c>
      <c r="V20" s="50"/>
      <c r="W20" s="50">
        <f>W18*0.3</f>
        <v>4.32</v>
      </c>
      <c r="X20" s="119" t="str">
        <f>'[1]bang gia'!$C$46</f>
        <v>đồng/cây</v>
      </c>
      <c r="Y20" s="123">
        <v>4</v>
      </c>
      <c r="Z20" s="123">
        <f>'[1]bang gia'!$D$46</f>
        <v>4500000</v>
      </c>
      <c r="AA20" s="56"/>
      <c r="AB20" s="57">
        <v>0.5</v>
      </c>
      <c r="AC20" s="118">
        <f t="shared" si="1"/>
        <v>9000000</v>
      </c>
      <c r="AD20" s="264"/>
      <c r="AE20" s="268"/>
      <c r="AF20" s="58"/>
      <c r="AG20" s="59"/>
      <c r="AH20" s="59"/>
      <c r="AI20" s="59"/>
      <c r="AJ20" s="59"/>
      <c r="AK20" s="59"/>
    </row>
    <row r="21" spans="1:37" s="25" customFormat="1" ht="22.5" customHeight="1">
      <c r="A21" s="262"/>
      <c r="B21" s="258"/>
      <c r="C21" s="56"/>
      <c r="D21" s="279"/>
      <c r="E21" s="279"/>
      <c r="F21" s="279"/>
      <c r="G21" s="279"/>
      <c r="H21" s="262"/>
      <c r="I21" s="275"/>
      <c r="J21" s="281"/>
      <c r="K21" s="262"/>
      <c r="L21" s="262"/>
      <c r="M21" s="262"/>
      <c r="N21" s="262"/>
      <c r="O21" s="262"/>
      <c r="P21" s="264"/>
      <c r="Q21" s="264"/>
      <c r="R21" s="264"/>
      <c r="S21" s="264"/>
      <c r="T21" s="264"/>
      <c r="U21" s="67" t="s">
        <v>424</v>
      </c>
      <c r="V21" s="50"/>
      <c r="W21" s="50"/>
      <c r="X21" s="119" t="str">
        <f>'[1]bang gia'!$C$46</f>
        <v>đồng/cây</v>
      </c>
      <c r="Y21" s="123">
        <v>2</v>
      </c>
      <c r="Z21" s="123">
        <f>'[1]bang gia'!$D$46</f>
        <v>4500000</v>
      </c>
      <c r="AA21" s="56"/>
      <c r="AB21" s="57">
        <v>0</v>
      </c>
      <c r="AC21" s="118">
        <f t="shared" si="1"/>
        <v>0</v>
      </c>
      <c r="AD21" s="264"/>
      <c r="AE21" s="268"/>
      <c r="AF21" s="58"/>
      <c r="AG21" s="59"/>
      <c r="AH21" s="59"/>
      <c r="AI21" s="59"/>
      <c r="AJ21" s="59"/>
      <c r="AK21" s="59"/>
    </row>
    <row r="22" spans="1:37" s="25" customFormat="1" ht="33.75" customHeight="1">
      <c r="A22" s="262"/>
      <c r="B22" s="258"/>
      <c r="C22" s="56"/>
      <c r="D22" s="279"/>
      <c r="E22" s="279"/>
      <c r="F22" s="279"/>
      <c r="G22" s="279"/>
      <c r="H22" s="262"/>
      <c r="I22" s="275"/>
      <c r="J22" s="281"/>
      <c r="K22" s="262"/>
      <c r="L22" s="262"/>
      <c r="M22" s="262"/>
      <c r="N22" s="262"/>
      <c r="O22" s="262"/>
      <c r="P22" s="264"/>
      <c r="Q22" s="264"/>
      <c r="R22" s="264"/>
      <c r="S22" s="264"/>
      <c r="T22" s="264"/>
      <c r="U22" s="120" t="s">
        <v>601</v>
      </c>
      <c r="V22" s="117"/>
      <c r="W22" s="117"/>
      <c r="X22" s="117" t="s">
        <v>6</v>
      </c>
      <c r="Y22" s="123">
        <f>144*1</f>
        <v>144</v>
      </c>
      <c r="Z22" s="117"/>
      <c r="AA22" s="56"/>
      <c r="AB22" s="57">
        <v>0</v>
      </c>
      <c r="AC22" s="119">
        <v>0</v>
      </c>
      <c r="AD22" s="262"/>
      <c r="AE22" s="268"/>
      <c r="AF22" s="58"/>
      <c r="AG22" s="59"/>
      <c r="AH22" s="59"/>
      <c r="AI22" s="59"/>
      <c r="AJ22" s="59"/>
      <c r="AK22" s="59"/>
    </row>
    <row r="23" spans="1:37" s="25" customFormat="1" ht="27" customHeight="1">
      <c r="A23" s="262"/>
      <c r="B23" s="258"/>
      <c r="C23" s="56"/>
      <c r="D23" s="279"/>
      <c r="E23" s="279"/>
      <c r="F23" s="279"/>
      <c r="G23" s="279"/>
      <c r="H23" s="262"/>
      <c r="I23" s="275"/>
      <c r="J23" s="281"/>
      <c r="K23" s="262"/>
      <c r="L23" s="262"/>
      <c r="M23" s="262"/>
      <c r="N23" s="262"/>
      <c r="O23" s="262"/>
      <c r="P23" s="264"/>
      <c r="Q23" s="264"/>
      <c r="R23" s="264"/>
      <c r="S23" s="264"/>
      <c r="T23" s="264"/>
      <c r="U23" s="124" t="s">
        <v>602</v>
      </c>
      <c r="V23" s="117"/>
      <c r="W23" s="117"/>
      <c r="X23" s="119" t="s">
        <v>628</v>
      </c>
      <c r="Y23" s="70">
        <v>1.2</v>
      </c>
      <c r="Z23" s="119"/>
      <c r="AA23" s="56"/>
      <c r="AB23" s="57">
        <v>0</v>
      </c>
      <c r="AC23" s="119">
        <v>0</v>
      </c>
      <c r="AD23" s="262"/>
      <c r="AE23" s="268"/>
      <c r="AF23" s="58"/>
      <c r="AG23" s="59"/>
      <c r="AH23" s="59"/>
      <c r="AI23" s="59"/>
      <c r="AJ23" s="59"/>
      <c r="AK23" s="59"/>
    </row>
    <row r="24" spans="1:37" s="25" customFormat="1" ht="27" customHeight="1">
      <c r="A24" s="262"/>
      <c r="B24" s="258"/>
      <c r="C24" s="56"/>
      <c r="D24" s="279"/>
      <c r="E24" s="279"/>
      <c r="F24" s="279"/>
      <c r="G24" s="279"/>
      <c r="H24" s="262"/>
      <c r="I24" s="276"/>
      <c r="J24" s="282"/>
      <c r="K24" s="262"/>
      <c r="L24" s="262"/>
      <c r="M24" s="262"/>
      <c r="N24" s="262"/>
      <c r="O24" s="262"/>
      <c r="P24" s="264"/>
      <c r="Q24" s="264"/>
      <c r="R24" s="264"/>
      <c r="S24" s="264"/>
      <c r="T24" s="264"/>
      <c r="U24" s="124" t="s">
        <v>603</v>
      </c>
      <c r="V24" s="117"/>
      <c r="W24" s="117"/>
      <c r="X24" s="117" t="s">
        <v>399</v>
      </c>
      <c r="Y24" s="118">
        <v>1</v>
      </c>
      <c r="Z24" s="123"/>
      <c r="AA24" s="56"/>
      <c r="AB24" s="57">
        <v>0</v>
      </c>
      <c r="AC24" s="119">
        <v>0</v>
      </c>
      <c r="AD24" s="262"/>
      <c r="AE24" s="268"/>
      <c r="AF24" s="58"/>
      <c r="AG24" s="59"/>
      <c r="AH24" s="59"/>
      <c r="AI24" s="59"/>
      <c r="AJ24" s="59"/>
      <c r="AK24" s="59"/>
    </row>
    <row r="25" spans="1:37" s="25" customFormat="1" ht="35.25" customHeight="1">
      <c r="A25" s="119">
        <v>6</v>
      </c>
      <c r="B25" s="124" t="s">
        <v>590</v>
      </c>
      <c r="C25" s="56"/>
      <c r="D25" s="128">
        <v>64</v>
      </c>
      <c r="E25" s="128">
        <v>383</v>
      </c>
      <c r="F25" s="128">
        <v>253</v>
      </c>
      <c r="G25" s="128" t="s">
        <v>397</v>
      </c>
      <c r="H25" s="119">
        <v>252</v>
      </c>
      <c r="I25" s="119">
        <f>F25-H25</f>
        <v>1</v>
      </c>
      <c r="J25" s="122">
        <v>252</v>
      </c>
      <c r="K25" s="119">
        <v>648</v>
      </c>
      <c r="L25" s="119"/>
      <c r="M25" s="122">
        <f>J25/K25*100</f>
        <v>38.888888888888893</v>
      </c>
      <c r="N25" s="123">
        <f>IF(M25&lt;10,2,IF(M25&lt;20,3,IF(M25&lt;30,5,IF(M25&gt;=70,12,IF(M25&gt;=30,6)))))</f>
        <v>6</v>
      </c>
      <c r="O25" s="123">
        <v>3</v>
      </c>
      <c r="P25" s="123">
        <f>$P$6</f>
        <v>80000</v>
      </c>
      <c r="Q25" s="123">
        <f>J25*P25</f>
        <v>20160000</v>
      </c>
      <c r="R25" s="123">
        <f>Q25*3</f>
        <v>60480000</v>
      </c>
      <c r="S25" s="123">
        <f>N25*O25*17000*30</f>
        <v>9180000</v>
      </c>
      <c r="T25" s="123">
        <f>S25+R25+Q25</f>
        <v>89820000</v>
      </c>
      <c r="U25" s="124" t="s">
        <v>591</v>
      </c>
      <c r="V25" s="50"/>
      <c r="W25" s="50"/>
      <c r="X25" s="50" t="s">
        <v>0</v>
      </c>
      <c r="Y25" s="118">
        <v>252</v>
      </c>
      <c r="Z25" s="123">
        <v>97000</v>
      </c>
      <c r="AA25" s="56"/>
      <c r="AB25" s="57">
        <v>1</v>
      </c>
      <c r="AC25" s="118">
        <f>Y25*Z25*AB25</f>
        <v>24444000</v>
      </c>
      <c r="AD25" s="123">
        <f>AC25</f>
        <v>24444000</v>
      </c>
      <c r="AE25" s="121">
        <f>AD25+T25</f>
        <v>114264000</v>
      </c>
      <c r="AF25" s="58"/>
      <c r="AG25" s="59"/>
      <c r="AH25" s="59"/>
      <c r="AI25" s="59"/>
      <c r="AJ25" s="59"/>
      <c r="AK25" s="59"/>
    </row>
    <row r="26" spans="1:37" s="17" customFormat="1" ht="27" customHeight="1">
      <c r="A26" s="131"/>
      <c r="B26" s="72" t="s">
        <v>407</v>
      </c>
      <c r="C26" s="73"/>
      <c r="D26" s="74"/>
      <c r="E26" s="74"/>
      <c r="F26" s="74"/>
      <c r="G26" s="74"/>
      <c r="H26" s="131"/>
      <c r="I26" s="75"/>
      <c r="J26" s="119"/>
      <c r="K26" s="119"/>
      <c r="L26" s="131"/>
      <c r="M26" s="76"/>
      <c r="N26" s="121"/>
      <c r="O26" s="121"/>
      <c r="P26" s="121"/>
      <c r="Q26" s="121"/>
      <c r="R26" s="121"/>
      <c r="S26" s="121"/>
      <c r="T26" s="121"/>
      <c r="U26" s="36"/>
      <c r="V26" s="75"/>
      <c r="W26" s="75"/>
      <c r="X26" s="131"/>
      <c r="Y26" s="121"/>
      <c r="Z26" s="121"/>
      <c r="AA26" s="73"/>
      <c r="AB26" s="125"/>
      <c r="AC26" s="116"/>
      <c r="AD26" s="121"/>
      <c r="AE26" s="121"/>
      <c r="AF26" s="77"/>
      <c r="AG26" s="78"/>
      <c r="AH26" s="78"/>
      <c r="AI26" s="78"/>
      <c r="AJ26" s="78"/>
      <c r="AK26" s="78"/>
    </row>
    <row r="27" spans="1:37" s="19" customFormat="1" ht="37.5" customHeight="1">
      <c r="A27" s="262">
        <v>7</v>
      </c>
      <c r="B27" s="263" t="s">
        <v>466</v>
      </c>
      <c r="C27" s="119"/>
      <c r="D27" s="258">
        <v>64</v>
      </c>
      <c r="E27" s="258">
        <v>418</v>
      </c>
      <c r="F27" s="258">
        <v>1074.5999999999999</v>
      </c>
      <c r="G27" s="258" t="s">
        <v>28</v>
      </c>
      <c r="H27" s="250">
        <v>1080</v>
      </c>
      <c r="I27" s="256">
        <f>F27-H27</f>
        <v>-5.4000000000000909</v>
      </c>
      <c r="J27" s="264">
        <v>1080</v>
      </c>
      <c r="K27" s="264">
        <v>1440</v>
      </c>
      <c r="L27" s="119"/>
      <c r="M27" s="269">
        <f>J27/K27*100</f>
        <v>75</v>
      </c>
      <c r="N27" s="264">
        <v>12</v>
      </c>
      <c r="O27" s="264">
        <v>7</v>
      </c>
      <c r="P27" s="264">
        <v>80000</v>
      </c>
      <c r="Q27" s="264">
        <f>P27*J27</f>
        <v>86400000</v>
      </c>
      <c r="R27" s="264">
        <f>Q27*3</f>
        <v>259200000</v>
      </c>
      <c r="S27" s="264">
        <f>N27*O27*17000*30</f>
        <v>42840000</v>
      </c>
      <c r="T27" s="264">
        <f>SUM(Q27:S40)</f>
        <v>388440000</v>
      </c>
      <c r="U27" s="65" t="s">
        <v>457</v>
      </c>
      <c r="V27" s="126">
        <v>25</v>
      </c>
      <c r="W27" s="126">
        <f>(H27-Y29-6-1)/V27</f>
        <v>21.32</v>
      </c>
      <c r="X27" s="117" t="s">
        <v>2</v>
      </c>
      <c r="Y27" s="118">
        <v>14</v>
      </c>
      <c r="Z27" s="62"/>
      <c r="AA27" s="79"/>
      <c r="AB27" s="80"/>
      <c r="AC27" s="118"/>
      <c r="AD27" s="250">
        <f>SUM(AC27:AC40)</f>
        <v>173950000</v>
      </c>
      <c r="AE27" s="251">
        <f>T27+AD27</f>
        <v>562390000</v>
      </c>
      <c r="AF27" s="31" t="s">
        <v>428</v>
      </c>
      <c r="AG27" s="81"/>
      <c r="AH27" s="81"/>
      <c r="AI27" s="81"/>
      <c r="AJ27" s="81"/>
      <c r="AK27" s="81"/>
    </row>
    <row r="28" spans="1:37" s="19" customFormat="1" ht="21.75" customHeight="1">
      <c r="A28" s="262"/>
      <c r="B28" s="263"/>
      <c r="C28" s="119"/>
      <c r="D28" s="258"/>
      <c r="E28" s="258"/>
      <c r="F28" s="258"/>
      <c r="G28" s="258"/>
      <c r="H28" s="250"/>
      <c r="I28" s="256"/>
      <c r="J28" s="264"/>
      <c r="K28" s="264"/>
      <c r="L28" s="119"/>
      <c r="M28" s="269"/>
      <c r="N28" s="264"/>
      <c r="O28" s="264"/>
      <c r="P28" s="264"/>
      <c r="Q28" s="264"/>
      <c r="R28" s="264"/>
      <c r="S28" s="264"/>
      <c r="T28" s="264"/>
      <c r="U28" s="67" t="s">
        <v>421</v>
      </c>
      <c r="V28" s="126"/>
      <c r="W28" s="126"/>
      <c r="X28" s="117" t="s">
        <v>2</v>
      </c>
      <c r="Y28" s="118">
        <v>14</v>
      </c>
      <c r="Z28" s="62">
        <v>4500000</v>
      </c>
      <c r="AA28" s="79"/>
      <c r="AB28" s="80">
        <v>1</v>
      </c>
      <c r="AC28" s="118">
        <f>Y28*Z28*AB28</f>
        <v>63000000</v>
      </c>
      <c r="AD28" s="250"/>
      <c r="AE28" s="251"/>
      <c r="AF28" s="31"/>
      <c r="AG28" s="81"/>
      <c r="AH28" s="81"/>
      <c r="AI28" s="81"/>
      <c r="AJ28" s="81"/>
      <c r="AK28" s="81"/>
    </row>
    <row r="29" spans="1:37" s="19" customFormat="1" ht="21.75" customHeight="1">
      <c r="A29" s="262"/>
      <c r="B29" s="263"/>
      <c r="C29" s="119"/>
      <c r="D29" s="258"/>
      <c r="E29" s="258"/>
      <c r="F29" s="258"/>
      <c r="G29" s="258"/>
      <c r="H29" s="250"/>
      <c r="I29" s="256"/>
      <c r="J29" s="264"/>
      <c r="K29" s="264"/>
      <c r="L29" s="119"/>
      <c r="M29" s="269"/>
      <c r="N29" s="264"/>
      <c r="O29" s="264"/>
      <c r="P29" s="264"/>
      <c r="Q29" s="264"/>
      <c r="R29" s="264"/>
      <c r="S29" s="264"/>
      <c r="T29" s="264"/>
      <c r="U29" s="82" t="s">
        <v>467</v>
      </c>
      <c r="V29" s="126"/>
      <c r="W29" s="126"/>
      <c r="X29" s="117" t="s">
        <v>0</v>
      </c>
      <c r="Y29" s="83">
        <v>540</v>
      </c>
      <c r="Z29" s="62">
        <v>180000</v>
      </c>
      <c r="AA29" s="84"/>
      <c r="AB29" s="68">
        <v>1</v>
      </c>
      <c r="AC29" s="118">
        <f>Y29*Z29*AB29</f>
        <v>97200000</v>
      </c>
      <c r="AD29" s="250"/>
      <c r="AE29" s="251"/>
      <c r="AF29" s="31"/>
      <c r="AG29" s="81"/>
      <c r="AH29" s="81"/>
      <c r="AI29" s="81"/>
      <c r="AJ29" s="81"/>
      <c r="AK29" s="81"/>
    </row>
    <row r="30" spans="1:37" s="19" customFormat="1" ht="33.75" customHeight="1">
      <c r="A30" s="262"/>
      <c r="B30" s="263"/>
      <c r="C30" s="119"/>
      <c r="D30" s="258"/>
      <c r="E30" s="258"/>
      <c r="F30" s="258"/>
      <c r="G30" s="258"/>
      <c r="H30" s="250"/>
      <c r="I30" s="256"/>
      <c r="J30" s="264"/>
      <c r="K30" s="264"/>
      <c r="L30" s="119"/>
      <c r="M30" s="269"/>
      <c r="N30" s="264"/>
      <c r="O30" s="264"/>
      <c r="P30" s="264"/>
      <c r="Q30" s="264"/>
      <c r="R30" s="264"/>
      <c r="S30" s="264"/>
      <c r="T30" s="264"/>
      <c r="U30" s="65" t="s">
        <v>468</v>
      </c>
      <c r="V30" s="126"/>
      <c r="W30" s="126"/>
      <c r="X30" s="117" t="s">
        <v>2</v>
      </c>
      <c r="Y30" s="118">
        <v>5</v>
      </c>
      <c r="Z30" s="62"/>
      <c r="AA30" s="79"/>
      <c r="AB30" s="80"/>
      <c r="AC30" s="118">
        <f t="shared" ref="AC30:AC31" si="2">Y30*Z30*AB30</f>
        <v>0</v>
      </c>
      <c r="AD30" s="250"/>
      <c r="AE30" s="251"/>
      <c r="AF30" s="31"/>
      <c r="AG30" s="81"/>
      <c r="AH30" s="81"/>
      <c r="AI30" s="81"/>
      <c r="AJ30" s="81"/>
      <c r="AK30" s="81"/>
    </row>
    <row r="31" spans="1:37" s="19" customFormat="1" ht="21.75" customHeight="1">
      <c r="A31" s="262"/>
      <c r="B31" s="263"/>
      <c r="C31" s="119"/>
      <c r="D31" s="258"/>
      <c r="E31" s="258"/>
      <c r="F31" s="258"/>
      <c r="G31" s="258"/>
      <c r="H31" s="250"/>
      <c r="I31" s="256"/>
      <c r="J31" s="264"/>
      <c r="K31" s="264"/>
      <c r="L31" s="119"/>
      <c r="M31" s="269"/>
      <c r="N31" s="264"/>
      <c r="O31" s="264"/>
      <c r="P31" s="264"/>
      <c r="Q31" s="264"/>
      <c r="R31" s="264"/>
      <c r="S31" s="264"/>
      <c r="T31" s="264"/>
      <c r="U31" s="67" t="s">
        <v>421</v>
      </c>
      <c r="V31" s="126">
        <v>20</v>
      </c>
      <c r="W31" s="126">
        <f>(1080-Y29-6-1)/V31</f>
        <v>26.65</v>
      </c>
      <c r="X31" s="117" t="s">
        <v>2</v>
      </c>
      <c r="Y31" s="118">
        <v>5</v>
      </c>
      <c r="Z31" s="62">
        <v>2500000</v>
      </c>
      <c r="AA31" s="79"/>
      <c r="AB31" s="68">
        <v>0.5</v>
      </c>
      <c r="AC31" s="118">
        <f t="shared" si="2"/>
        <v>6250000</v>
      </c>
      <c r="AD31" s="250"/>
      <c r="AE31" s="251"/>
      <c r="AF31" s="31"/>
      <c r="AG31" s="81"/>
      <c r="AH31" s="81"/>
      <c r="AI31" s="81"/>
      <c r="AJ31" s="81"/>
      <c r="AK31" s="81"/>
    </row>
    <row r="32" spans="1:37" s="19" customFormat="1" ht="33" customHeight="1">
      <c r="A32" s="262"/>
      <c r="B32" s="263"/>
      <c r="C32" s="119"/>
      <c r="D32" s="258"/>
      <c r="E32" s="258"/>
      <c r="F32" s="258"/>
      <c r="G32" s="258"/>
      <c r="H32" s="250"/>
      <c r="I32" s="256"/>
      <c r="J32" s="264"/>
      <c r="K32" s="264"/>
      <c r="L32" s="119"/>
      <c r="M32" s="269"/>
      <c r="N32" s="264"/>
      <c r="O32" s="264"/>
      <c r="P32" s="264"/>
      <c r="Q32" s="264"/>
      <c r="R32" s="264"/>
      <c r="S32" s="264"/>
      <c r="T32" s="264"/>
      <c r="U32" s="65" t="s">
        <v>469</v>
      </c>
      <c r="V32" s="126">
        <v>25</v>
      </c>
      <c r="W32" s="126">
        <f>(1080-Y30-6-1)/V32</f>
        <v>42.72</v>
      </c>
      <c r="X32" s="117" t="s">
        <v>2</v>
      </c>
      <c r="Y32" s="118">
        <v>15</v>
      </c>
      <c r="Z32" s="62"/>
      <c r="AA32" s="79"/>
      <c r="AB32" s="80"/>
      <c r="AC32" s="118"/>
      <c r="AD32" s="250"/>
      <c r="AE32" s="251"/>
      <c r="AF32" s="31"/>
      <c r="AG32" s="81"/>
      <c r="AH32" s="81"/>
      <c r="AI32" s="81"/>
      <c r="AJ32" s="81"/>
      <c r="AK32" s="81"/>
    </row>
    <row r="33" spans="1:37" s="19" customFormat="1" ht="23.25" customHeight="1">
      <c r="A33" s="262"/>
      <c r="B33" s="263"/>
      <c r="C33" s="119"/>
      <c r="D33" s="258"/>
      <c r="E33" s="258"/>
      <c r="F33" s="258"/>
      <c r="G33" s="258"/>
      <c r="H33" s="250"/>
      <c r="I33" s="256"/>
      <c r="J33" s="264"/>
      <c r="K33" s="264"/>
      <c r="L33" s="119"/>
      <c r="M33" s="269"/>
      <c r="N33" s="264"/>
      <c r="O33" s="264"/>
      <c r="P33" s="264"/>
      <c r="Q33" s="264"/>
      <c r="R33" s="264"/>
      <c r="S33" s="264"/>
      <c r="T33" s="264"/>
      <c r="U33" s="67" t="s">
        <v>421</v>
      </c>
      <c r="V33" s="126"/>
      <c r="W33" s="126"/>
      <c r="X33" s="117" t="s">
        <v>2</v>
      </c>
      <c r="Y33" s="118">
        <v>15</v>
      </c>
      <c r="Z33" s="62">
        <v>1000000</v>
      </c>
      <c r="AA33" s="79"/>
      <c r="AB33" s="68">
        <v>0.5</v>
      </c>
      <c r="AC33" s="118">
        <f t="shared" ref="AC33:AC41" si="3">Y33*Z33*AB33</f>
        <v>7500000</v>
      </c>
      <c r="AD33" s="250"/>
      <c r="AE33" s="251"/>
      <c r="AF33" s="31"/>
      <c r="AG33" s="81"/>
      <c r="AH33" s="81"/>
      <c r="AI33" s="81"/>
      <c r="AJ33" s="81"/>
      <c r="AK33" s="81"/>
    </row>
    <row r="34" spans="1:37" s="19" customFormat="1" ht="51" customHeight="1">
      <c r="A34" s="262"/>
      <c r="B34" s="263"/>
      <c r="C34" s="119"/>
      <c r="D34" s="258"/>
      <c r="E34" s="258"/>
      <c r="F34" s="258"/>
      <c r="G34" s="258"/>
      <c r="H34" s="250"/>
      <c r="I34" s="256"/>
      <c r="J34" s="264"/>
      <c r="K34" s="264"/>
      <c r="L34" s="119"/>
      <c r="M34" s="269"/>
      <c r="N34" s="264"/>
      <c r="O34" s="264"/>
      <c r="P34" s="264"/>
      <c r="Q34" s="264"/>
      <c r="R34" s="264"/>
      <c r="S34" s="264"/>
      <c r="T34" s="264"/>
      <c r="U34" s="124" t="s">
        <v>470</v>
      </c>
      <c r="V34" s="126"/>
      <c r="W34" s="126"/>
      <c r="X34" s="117" t="s">
        <v>0</v>
      </c>
      <c r="Y34" s="118">
        <v>161</v>
      </c>
      <c r="Z34" s="62"/>
      <c r="AA34" s="79"/>
      <c r="AB34" s="80">
        <v>0</v>
      </c>
      <c r="AC34" s="118">
        <f t="shared" si="3"/>
        <v>0</v>
      </c>
      <c r="AD34" s="250"/>
      <c r="AE34" s="251"/>
      <c r="AF34" s="31"/>
      <c r="AG34" s="81"/>
      <c r="AH34" s="81"/>
      <c r="AI34" s="81"/>
      <c r="AJ34" s="81"/>
      <c r="AK34" s="81"/>
    </row>
    <row r="35" spans="1:37" s="19" customFormat="1" ht="58.5" customHeight="1">
      <c r="A35" s="262"/>
      <c r="B35" s="263"/>
      <c r="C35" s="119"/>
      <c r="D35" s="258"/>
      <c r="E35" s="258"/>
      <c r="F35" s="258"/>
      <c r="G35" s="258"/>
      <c r="H35" s="250"/>
      <c r="I35" s="256"/>
      <c r="J35" s="264"/>
      <c r="K35" s="264"/>
      <c r="L35" s="119"/>
      <c r="M35" s="269"/>
      <c r="N35" s="264"/>
      <c r="O35" s="264"/>
      <c r="P35" s="264"/>
      <c r="Q35" s="264"/>
      <c r="R35" s="264"/>
      <c r="S35" s="264"/>
      <c r="T35" s="264"/>
      <c r="U35" s="124" t="s">
        <v>471</v>
      </c>
      <c r="V35" s="126"/>
      <c r="W35" s="126"/>
      <c r="X35" s="117" t="s">
        <v>400</v>
      </c>
      <c r="Y35" s="118">
        <v>80</v>
      </c>
      <c r="Z35" s="62"/>
      <c r="AA35" s="79"/>
      <c r="AB35" s="80">
        <v>0</v>
      </c>
      <c r="AC35" s="118">
        <f t="shared" si="3"/>
        <v>0</v>
      </c>
      <c r="AD35" s="250"/>
      <c r="AE35" s="251"/>
      <c r="AF35" s="31"/>
      <c r="AG35" s="81"/>
      <c r="AH35" s="81"/>
      <c r="AI35" s="81"/>
      <c r="AJ35" s="81"/>
      <c r="AK35" s="81"/>
    </row>
    <row r="36" spans="1:37" s="19" customFormat="1" ht="53.25" customHeight="1">
      <c r="A36" s="262"/>
      <c r="B36" s="263"/>
      <c r="C36" s="119"/>
      <c r="D36" s="258"/>
      <c r="E36" s="258"/>
      <c r="F36" s="258"/>
      <c r="G36" s="258"/>
      <c r="H36" s="250"/>
      <c r="I36" s="256"/>
      <c r="J36" s="264"/>
      <c r="K36" s="264"/>
      <c r="L36" s="119"/>
      <c r="M36" s="269"/>
      <c r="N36" s="264"/>
      <c r="O36" s="264"/>
      <c r="P36" s="264"/>
      <c r="Q36" s="264"/>
      <c r="R36" s="264"/>
      <c r="S36" s="264"/>
      <c r="T36" s="264"/>
      <c r="U36" s="124" t="s">
        <v>472</v>
      </c>
      <c r="V36" s="126"/>
      <c r="W36" s="126"/>
      <c r="X36" s="117" t="s">
        <v>630</v>
      </c>
      <c r="Y36" s="118">
        <v>6</v>
      </c>
      <c r="Z36" s="62"/>
      <c r="AA36" s="79"/>
      <c r="AB36" s="80">
        <v>0</v>
      </c>
      <c r="AC36" s="118">
        <f t="shared" si="3"/>
        <v>0</v>
      </c>
      <c r="AD36" s="250"/>
      <c r="AE36" s="251"/>
      <c r="AF36" s="31"/>
      <c r="AG36" s="81"/>
      <c r="AH36" s="81"/>
      <c r="AI36" s="81"/>
      <c r="AJ36" s="81"/>
      <c r="AK36" s="81"/>
    </row>
    <row r="37" spans="1:37" s="19" customFormat="1" ht="21.75" customHeight="1">
      <c r="A37" s="262"/>
      <c r="B37" s="263"/>
      <c r="C37" s="119"/>
      <c r="D37" s="258"/>
      <c r="E37" s="258"/>
      <c r="F37" s="258"/>
      <c r="G37" s="258"/>
      <c r="H37" s="250"/>
      <c r="I37" s="256"/>
      <c r="J37" s="264"/>
      <c r="K37" s="264"/>
      <c r="L37" s="119"/>
      <c r="M37" s="269"/>
      <c r="N37" s="264"/>
      <c r="O37" s="264"/>
      <c r="P37" s="264"/>
      <c r="Q37" s="264"/>
      <c r="R37" s="264"/>
      <c r="S37" s="264"/>
      <c r="T37" s="264"/>
      <c r="U37" s="124" t="s">
        <v>473</v>
      </c>
      <c r="V37" s="126"/>
      <c r="W37" s="126"/>
      <c r="X37" s="117" t="s">
        <v>400</v>
      </c>
      <c r="Y37" s="118">
        <v>12</v>
      </c>
      <c r="Z37" s="62"/>
      <c r="AA37" s="79"/>
      <c r="AB37" s="80">
        <v>0</v>
      </c>
      <c r="AC37" s="118">
        <f t="shared" si="3"/>
        <v>0</v>
      </c>
      <c r="AD37" s="250"/>
      <c r="AE37" s="251"/>
      <c r="AF37" s="31"/>
      <c r="AG37" s="81"/>
      <c r="AH37" s="81"/>
      <c r="AI37" s="81"/>
      <c r="AJ37" s="81"/>
      <c r="AK37" s="81"/>
    </row>
    <row r="38" spans="1:37" s="19" customFormat="1" ht="30.75" customHeight="1">
      <c r="A38" s="262"/>
      <c r="B38" s="263"/>
      <c r="C38" s="119"/>
      <c r="D38" s="258"/>
      <c r="E38" s="258"/>
      <c r="F38" s="258"/>
      <c r="G38" s="258"/>
      <c r="H38" s="250"/>
      <c r="I38" s="256"/>
      <c r="J38" s="264"/>
      <c r="K38" s="264"/>
      <c r="L38" s="119"/>
      <c r="M38" s="269"/>
      <c r="N38" s="264"/>
      <c r="O38" s="264"/>
      <c r="P38" s="264"/>
      <c r="Q38" s="264"/>
      <c r="R38" s="264"/>
      <c r="S38" s="264"/>
      <c r="T38" s="264"/>
      <c r="U38" s="124" t="s">
        <v>474</v>
      </c>
      <c r="V38" s="126"/>
      <c r="W38" s="126"/>
      <c r="X38" s="117" t="s">
        <v>399</v>
      </c>
      <c r="Y38" s="118">
        <v>1</v>
      </c>
      <c r="Z38" s="62"/>
      <c r="AA38" s="79"/>
      <c r="AB38" s="80">
        <v>0</v>
      </c>
      <c r="AC38" s="118">
        <f t="shared" si="3"/>
        <v>0</v>
      </c>
      <c r="AD38" s="250"/>
      <c r="AE38" s="251"/>
      <c r="AF38" s="31"/>
      <c r="AG38" s="81"/>
      <c r="AH38" s="81"/>
      <c r="AI38" s="81"/>
      <c r="AJ38" s="81"/>
      <c r="AK38" s="81"/>
    </row>
    <row r="39" spans="1:37" s="19" customFormat="1" ht="36.75" customHeight="1">
      <c r="A39" s="262"/>
      <c r="B39" s="263"/>
      <c r="C39" s="119"/>
      <c r="D39" s="258"/>
      <c r="E39" s="258"/>
      <c r="F39" s="258"/>
      <c r="G39" s="258"/>
      <c r="H39" s="250"/>
      <c r="I39" s="256"/>
      <c r="J39" s="264"/>
      <c r="K39" s="264"/>
      <c r="L39" s="119"/>
      <c r="M39" s="269"/>
      <c r="N39" s="264"/>
      <c r="O39" s="264"/>
      <c r="P39" s="264"/>
      <c r="Q39" s="264"/>
      <c r="R39" s="264"/>
      <c r="S39" s="264"/>
      <c r="T39" s="264"/>
      <c r="U39" s="124" t="s">
        <v>475</v>
      </c>
      <c r="V39" s="126"/>
      <c r="W39" s="126"/>
      <c r="X39" s="117" t="s">
        <v>630</v>
      </c>
      <c r="Y39" s="118">
        <v>1.3</v>
      </c>
      <c r="Z39" s="62"/>
      <c r="AA39" s="79"/>
      <c r="AB39" s="80">
        <v>0</v>
      </c>
      <c r="AC39" s="118">
        <f t="shared" si="3"/>
        <v>0</v>
      </c>
      <c r="AD39" s="250"/>
      <c r="AE39" s="251"/>
      <c r="AF39" s="31"/>
      <c r="AG39" s="81"/>
      <c r="AH39" s="81"/>
      <c r="AI39" s="81"/>
      <c r="AJ39" s="81"/>
      <c r="AK39" s="81"/>
    </row>
    <row r="40" spans="1:37" s="19" customFormat="1" ht="23.25" customHeight="1">
      <c r="A40" s="262"/>
      <c r="B40" s="263"/>
      <c r="C40" s="119"/>
      <c r="D40" s="258"/>
      <c r="E40" s="258"/>
      <c r="F40" s="258"/>
      <c r="G40" s="258"/>
      <c r="H40" s="250"/>
      <c r="I40" s="256"/>
      <c r="J40" s="264"/>
      <c r="K40" s="264"/>
      <c r="L40" s="119"/>
      <c r="M40" s="269"/>
      <c r="N40" s="264"/>
      <c r="O40" s="264"/>
      <c r="P40" s="264"/>
      <c r="Q40" s="264"/>
      <c r="R40" s="264"/>
      <c r="S40" s="264"/>
      <c r="T40" s="264"/>
      <c r="U40" s="124" t="s">
        <v>476</v>
      </c>
      <c r="V40" s="110"/>
      <c r="W40" s="110"/>
      <c r="X40" s="117" t="s">
        <v>0</v>
      </c>
      <c r="Y40" s="118">
        <v>8</v>
      </c>
      <c r="Z40" s="62"/>
      <c r="AA40" s="79"/>
      <c r="AB40" s="80">
        <v>0</v>
      </c>
      <c r="AC40" s="118">
        <f t="shared" si="3"/>
        <v>0</v>
      </c>
      <c r="AD40" s="250"/>
      <c r="AE40" s="251"/>
      <c r="AF40" s="31"/>
      <c r="AG40" s="81"/>
      <c r="AH40" s="81"/>
      <c r="AI40" s="81"/>
      <c r="AJ40" s="81"/>
      <c r="AK40" s="81"/>
    </row>
    <row r="41" spans="1:37" s="19" customFormat="1" ht="24" customHeight="1">
      <c r="A41" s="262">
        <v>8</v>
      </c>
      <c r="B41" s="271" t="s">
        <v>494</v>
      </c>
      <c r="C41" s="258" t="s">
        <v>39</v>
      </c>
      <c r="D41" s="258">
        <v>64</v>
      </c>
      <c r="E41" s="258">
        <v>414</v>
      </c>
      <c r="F41" s="258">
        <v>1432.8</v>
      </c>
      <c r="G41" s="258" t="s">
        <v>28</v>
      </c>
      <c r="H41" s="250">
        <v>1440</v>
      </c>
      <c r="I41" s="256">
        <f>F41-H41</f>
        <v>-7.2000000000000455</v>
      </c>
      <c r="J41" s="250">
        <f>H41+H58</f>
        <v>1836</v>
      </c>
      <c r="K41" s="250">
        <v>3276</v>
      </c>
      <c r="L41" s="250"/>
      <c r="M41" s="256">
        <f>J41/K41*100</f>
        <v>56.043956043956044</v>
      </c>
      <c r="N41" s="250">
        <v>6</v>
      </c>
      <c r="O41" s="250">
        <v>5</v>
      </c>
      <c r="P41" s="250">
        <v>80000</v>
      </c>
      <c r="Q41" s="250">
        <f>P41*J41</f>
        <v>146880000</v>
      </c>
      <c r="R41" s="250">
        <f>Q41*3</f>
        <v>440640000</v>
      </c>
      <c r="S41" s="250">
        <f>N41*O41*17000*30</f>
        <v>15300000</v>
      </c>
      <c r="T41" s="250">
        <f>SUM(Q41:S58)</f>
        <v>602820000</v>
      </c>
      <c r="U41" s="82" t="s">
        <v>446</v>
      </c>
      <c r="V41" s="126"/>
      <c r="W41" s="126"/>
      <c r="X41" s="117" t="s">
        <v>0</v>
      </c>
      <c r="Y41" s="83">
        <v>720</v>
      </c>
      <c r="Z41" s="62">
        <v>180000</v>
      </c>
      <c r="AA41" s="84"/>
      <c r="AB41" s="68">
        <v>1</v>
      </c>
      <c r="AC41" s="118">
        <f t="shared" si="3"/>
        <v>129600000</v>
      </c>
      <c r="AD41" s="250">
        <f>SUM(AC41:AC57)</f>
        <v>257652000</v>
      </c>
      <c r="AE41" s="251">
        <f>T41+AD41+AD58</f>
        <v>931212000</v>
      </c>
      <c r="AF41" s="31" t="s">
        <v>398</v>
      </c>
      <c r="AG41" s="81"/>
      <c r="AH41" s="81"/>
      <c r="AI41" s="81"/>
      <c r="AJ41" s="81"/>
      <c r="AK41" s="81"/>
    </row>
    <row r="42" spans="1:37" s="19" customFormat="1" ht="34.5" customHeight="1">
      <c r="A42" s="262"/>
      <c r="B42" s="271"/>
      <c r="C42" s="258"/>
      <c r="D42" s="258"/>
      <c r="E42" s="258"/>
      <c r="F42" s="258"/>
      <c r="G42" s="258"/>
      <c r="H42" s="250"/>
      <c r="I42" s="256"/>
      <c r="J42" s="250"/>
      <c r="K42" s="250"/>
      <c r="L42" s="250"/>
      <c r="M42" s="256"/>
      <c r="N42" s="250"/>
      <c r="O42" s="250"/>
      <c r="P42" s="250"/>
      <c r="Q42" s="250"/>
      <c r="R42" s="250"/>
      <c r="S42" s="250"/>
      <c r="T42" s="250"/>
      <c r="U42" s="65" t="s">
        <v>495</v>
      </c>
      <c r="V42" s="126">
        <v>25</v>
      </c>
      <c r="W42" s="126">
        <f>(H41-Y41-Y49-8)/25</f>
        <v>27.52</v>
      </c>
      <c r="X42" s="117" t="s">
        <v>2</v>
      </c>
      <c r="Y42" s="118">
        <v>32</v>
      </c>
      <c r="Z42" s="62"/>
      <c r="AA42" s="79"/>
      <c r="AB42" s="80"/>
      <c r="AC42" s="118"/>
      <c r="AD42" s="250"/>
      <c r="AE42" s="251"/>
      <c r="AF42" s="31"/>
      <c r="AG42" s="81"/>
      <c r="AH42" s="81"/>
      <c r="AI42" s="81"/>
      <c r="AJ42" s="81"/>
      <c r="AK42" s="81"/>
    </row>
    <row r="43" spans="1:37" s="19" customFormat="1" ht="21.75" customHeight="1">
      <c r="A43" s="262"/>
      <c r="B43" s="271"/>
      <c r="C43" s="258"/>
      <c r="D43" s="258"/>
      <c r="E43" s="258"/>
      <c r="F43" s="258"/>
      <c r="G43" s="258"/>
      <c r="H43" s="250"/>
      <c r="I43" s="256"/>
      <c r="J43" s="250"/>
      <c r="K43" s="250"/>
      <c r="L43" s="250"/>
      <c r="M43" s="256"/>
      <c r="N43" s="250"/>
      <c r="O43" s="250"/>
      <c r="P43" s="250"/>
      <c r="Q43" s="250"/>
      <c r="R43" s="250"/>
      <c r="S43" s="250"/>
      <c r="T43" s="250"/>
      <c r="U43" s="67" t="s">
        <v>421</v>
      </c>
      <c r="V43" s="126"/>
      <c r="W43" s="126"/>
      <c r="X43" s="117" t="s">
        <v>2</v>
      </c>
      <c r="Y43" s="118">
        <v>28</v>
      </c>
      <c r="Z43" s="62">
        <v>4500000</v>
      </c>
      <c r="AA43" s="79"/>
      <c r="AB43" s="80">
        <v>1</v>
      </c>
      <c r="AC43" s="118">
        <f>Y43*Z43*AB43</f>
        <v>126000000</v>
      </c>
      <c r="AD43" s="250"/>
      <c r="AE43" s="251"/>
      <c r="AF43" s="31"/>
      <c r="AG43" s="81"/>
      <c r="AH43" s="81"/>
      <c r="AI43" s="81"/>
      <c r="AJ43" s="81"/>
      <c r="AK43" s="81"/>
    </row>
    <row r="44" spans="1:37" s="19" customFormat="1" ht="21.75" customHeight="1">
      <c r="A44" s="262"/>
      <c r="B44" s="271"/>
      <c r="C44" s="258"/>
      <c r="D44" s="258"/>
      <c r="E44" s="258"/>
      <c r="F44" s="258"/>
      <c r="G44" s="258"/>
      <c r="H44" s="250"/>
      <c r="I44" s="256"/>
      <c r="J44" s="250"/>
      <c r="K44" s="250"/>
      <c r="L44" s="250"/>
      <c r="M44" s="256"/>
      <c r="N44" s="250"/>
      <c r="O44" s="250"/>
      <c r="P44" s="250"/>
      <c r="Q44" s="250"/>
      <c r="R44" s="250"/>
      <c r="S44" s="250"/>
      <c r="T44" s="250"/>
      <c r="U44" s="67" t="s">
        <v>423</v>
      </c>
      <c r="V44" s="126"/>
      <c r="W44" s="126">
        <f>0.3*3</f>
        <v>0.89999999999999991</v>
      </c>
      <c r="X44" s="117" t="s">
        <v>2</v>
      </c>
      <c r="Y44" s="118">
        <v>1</v>
      </c>
      <c r="Z44" s="62">
        <v>1800000</v>
      </c>
      <c r="AA44" s="79"/>
      <c r="AB44" s="80">
        <v>0.3</v>
      </c>
      <c r="AC44" s="118">
        <f t="shared" ref="AC44:AC45" si="4">Y44*Z44*AB44</f>
        <v>540000</v>
      </c>
      <c r="AD44" s="250"/>
      <c r="AE44" s="251"/>
      <c r="AF44" s="31"/>
      <c r="AG44" s="81"/>
      <c r="AH44" s="81"/>
      <c r="AI44" s="81"/>
      <c r="AJ44" s="81"/>
      <c r="AK44" s="81"/>
    </row>
    <row r="45" spans="1:37" s="19" customFormat="1" ht="21.75" customHeight="1">
      <c r="A45" s="262"/>
      <c r="B45" s="271"/>
      <c r="C45" s="258"/>
      <c r="D45" s="258"/>
      <c r="E45" s="258"/>
      <c r="F45" s="258"/>
      <c r="G45" s="258"/>
      <c r="H45" s="250"/>
      <c r="I45" s="256"/>
      <c r="J45" s="250"/>
      <c r="K45" s="250"/>
      <c r="L45" s="250"/>
      <c r="M45" s="256"/>
      <c r="N45" s="250"/>
      <c r="O45" s="250"/>
      <c r="P45" s="250"/>
      <c r="Q45" s="250"/>
      <c r="R45" s="250"/>
      <c r="S45" s="250"/>
      <c r="T45" s="250"/>
      <c r="U45" s="67" t="s">
        <v>424</v>
      </c>
      <c r="V45" s="126"/>
      <c r="W45" s="126"/>
      <c r="X45" s="117" t="s">
        <v>2</v>
      </c>
      <c r="Y45" s="118">
        <v>3</v>
      </c>
      <c r="Z45" s="62">
        <v>1800000</v>
      </c>
      <c r="AA45" s="79"/>
      <c r="AB45" s="80">
        <v>0</v>
      </c>
      <c r="AC45" s="118">
        <f t="shared" si="4"/>
        <v>0</v>
      </c>
      <c r="AD45" s="250"/>
      <c r="AE45" s="251"/>
      <c r="AF45" s="31"/>
      <c r="AG45" s="81"/>
      <c r="AH45" s="81"/>
      <c r="AI45" s="81"/>
      <c r="AJ45" s="81"/>
      <c r="AK45" s="81"/>
    </row>
    <row r="46" spans="1:37" s="19" customFormat="1" ht="57" customHeight="1">
      <c r="A46" s="262"/>
      <c r="B46" s="271"/>
      <c r="C46" s="258"/>
      <c r="D46" s="258"/>
      <c r="E46" s="258"/>
      <c r="F46" s="258"/>
      <c r="G46" s="258"/>
      <c r="H46" s="250"/>
      <c r="I46" s="256"/>
      <c r="J46" s="250"/>
      <c r="K46" s="250"/>
      <c r="L46" s="250"/>
      <c r="M46" s="256"/>
      <c r="N46" s="250"/>
      <c r="O46" s="250"/>
      <c r="P46" s="250"/>
      <c r="Q46" s="250"/>
      <c r="R46" s="250"/>
      <c r="S46" s="250"/>
      <c r="T46" s="250"/>
      <c r="U46" s="124" t="s">
        <v>496</v>
      </c>
      <c r="V46" s="110">
        <v>10</v>
      </c>
      <c r="W46" s="126">
        <f>(H41-Y41-Y49-8)/10</f>
        <v>68.8</v>
      </c>
      <c r="X46" s="117" t="s">
        <v>2</v>
      </c>
      <c r="Y46" s="114">
        <v>150</v>
      </c>
      <c r="Z46" s="62"/>
      <c r="AA46" s="79"/>
      <c r="AB46" s="80"/>
      <c r="AC46" s="118"/>
      <c r="AD46" s="250"/>
      <c r="AE46" s="251"/>
      <c r="AF46" s="31"/>
      <c r="AG46" s="81"/>
      <c r="AH46" s="81"/>
      <c r="AI46" s="81"/>
      <c r="AJ46" s="81"/>
      <c r="AK46" s="81"/>
    </row>
    <row r="47" spans="1:37" s="19" customFormat="1" ht="36" customHeight="1">
      <c r="A47" s="262"/>
      <c r="B47" s="271"/>
      <c r="C47" s="258"/>
      <c r="D47" s="258"/>
      <c r="E47" s="258"/>
      <c r="F47" s="258"/>
      <c r="G47" s="258"/>
      <c r="H47" s="250"/>
      <c r="I47" s="256"/>
      <c r="J47" s="250"/>
      <c r="K47" s="250"/>
      <c r="L47" s="250"/>
      <c r="M47" s="256"/>
      <c r="N47" s="250"/>
      <c r="O47" s="250"/>
      <c r="P47" s="250"/>
      <c r="Q47" s="250"/>
      <c r="R47" s="250"/>
      <c r="S47" s="250"/>
      <c r="T47" s="250"/>
      <c r="U47" s="67" t="s">
        <v>497</v>
      </c>
      <c r="V47" s="126"/>
      <c r="W47" s="126">
        <f>0.3*W46</f>
        <v>20.639999999999997</v>
      </c>
      <c r="X47" s="117" t="s">
        <v>2</v>
      </c>
      <c r="Y47" s="83">
        <v>21</v>
      </c>
      <c r="Z47" s="62">
        <v>240000</v>
      </c>
      <c r="AA47" s="79"/>
      <c r="AB47" s="80">
        <v>0.3</v>
      </c>
      <c r="AC47" s="118">
        <f t="shared" ref="AC47" si="5">Y47*Z47*AB47</f>
        <v>1512000</v>
      </c>
      <c r="AD47" s="250"/>
      <c r="AE47" s="251"/>
      <c r="AF47" s="31"/>
      <c r="AG47" s="81"/>
      <c r="AH47" s="81"/>
      <c r="AI47" s="81"/>
      <c r="AJ47" s="81"/>
      <c r="AK47" s="81"/>
    </row>
    <row r="48" spans="1:37" s="19" customFormat="1" ht="27.75" customHeight="1">
      <c r="A48" s="262"/>
      <c r="B48" s="271"/>
      <c r="C48" s="258"/>
      <c r="D48" s="258"/>
      <c r="E48" s="258"/>
      <c r="F48" s="258"/>
      <c r="G48" s="258"/>
      <c r="H48" s="250"/>
      <c r="I48" s="256"/>
      <c r="J48" s="250"/>
      <c r="K48" s="250"/>
      <c r="L48" s="250"/>
      <c r="M48" s="256"/>
      <c r="N48" s="250"/>
      <c r="O48" s="250"/>
      <c r="P48" s="250"/>
      <c r="Q48" s="250"/>
      <c r="R48" s="250"/>
      <c r="S48" s="250"/>
      <c r="T48" s="250"/>
      <c r="U48" s="67" t="s">
        <v>486</v>
      </c>
      <c r="V48" s="126"/>
      <c r="W48" s="126"/>
      <c r="X48" s="117" t="s">
        <v>2</v>
      </c>
      <c r="Y48" s="83">
        <v>129</v>
      </c>
      <c r="Z48" s="62">
        <v>240000</v>
      </c>
      <c r="AA48" s="79"/>
      <c r="AB48" s="80">
        <v>0</v>
      </c>
      <c r="AC48" s="118">
        <f t="shared" ref="AC48" si="6">Y48*Z48*AB48/100</f>
        <v>0</v>
      </c>
      <c r="AD48" s="250"/>
      <c r="AE48" s="251"/>
      <c r="AF48" s="31"/>
      <c r="AG48" s="81"/>
      <c r="AH48" s="81"/>
      <c r="AI48" s="81"/>
      <c r="AJ48" s="81"/>
      <c r="AK48" s="81"/>
    </row>
    <row r="49" spans="1:37" s="19" customFormat="1" ht="81" customHeight="1">
      <c r="A49" s="262"/>
      <c r="B49" s="271"/>
      <c r="C49" s="258"/>
      <c r="D49" s="258"/>
      <c r="E49" s="258"/>
      <c r="F49" s="258"/>
      <c r="G49" s="258"/>
      <c r="H49" s="250"/>
      <c r="I49" s="256"/>
      <c r="J49" s="250"/>
      <c r="K49" s="250"/>
      <c r="L49" s="250"/>
      <c r="M49" s="256"/>
      <c r="N49" s="250"/>
      <c r="O49" s="250"/>
      <c r="P49" s="250"/>
      <c r="Q49" s="250"/>
      <c r="R49" s="250"/>
      <c r="S49" s="250"/>
      <c r="T49" s="250"/>
      <c r="U49" s="124" t="s">
        <v>561</v>
      </c>
      <c r="V49" s="126"/>
      <c r="W49" s="126"/>
      <c r="X49" s="117" t="s">
        <v>0</v>
      </c>
      <c r="Y49" s="114">
        <v>24</v>
      </c>
      <c r="Z49" s="62"/>
      <c r="AA49" s="79"/>
      <c r="AB49" s="80"/>
      <c r="AC49" s="118"/>
      <c r="AD49" s="250"/>
      <c r="AE49" s="251"/>
      <c r="AF49" s="31"/>
      <c r="AG49" s="81"/>
      <c r="AH49" s="81"/>
      <c r="AI49" s="81"/>
      <c r="AJ49" s="81"/>
      <c r="AK49" s="81"/>
    </row>
    <row r="50" spans="1:37" s="19" customFormat="1" ht="41.25" customHeight="1">
      <c r="A50" s="262"/>
      <c r="B50" s="271"/>
      <c r="C50" s="258"/>
      <c r="D50" s="258"/>
      <c r="E50" s="258"/>
      <c r="F50" s="258"/>
      <c r="G50" s="258"/>
      <c r="H50" s="250"/>
      <c r="I50" s="256"/>
      <c r="J50" s="250"/>
      <c r="K50" s="250"/>
      <c r="L50" s="250"/>
      <c r="M50" s="256"/>
      <c r="N50" s="250"/>
      <c r="O50" s="250"/>
      <c r="P50" s="250"/>
      <c r="Q50" s="250"/>
      <c r="R50" s="250"/>
      <c r="S50" s="250"/>
      <c r="T50" s="250"/>
      <c r="U50" s="124" t="s">
        <v>562</v>
      </c>
      <c r="V50" s="126"/>
      <c r="W50" s="126"/>
      <c r="X50" s="117" t="s">
        <v>0</v>
      </c>
      <c r="Y50" s="114">
        <v>36</v>
      </c>
      <c r="Z50" s="62"/>
      <c r="AA50" s="79"/>
      <c r="AB50" s="80"/>
      <c r="AC50" s="118"/>
      <c r="AD50" s="250"/>
      <c r="AE50" s="251"/>
      <c r="AF50" s="31"/>
      <c r="AG50" s="81"/>
      <c r="AH50" s="81"/>
      <c r="AI50" s="81"/>
      <c r="AJ50" s="81"/>
      <c r="AK50" s="81"/>
    </row>
    <row r="51" spans="1:37" s="19" customFormat="1" ht="55.5" customHeight="1">
      <c r="A51" s="262"/>
      <c r="B51" s="271"/>
      <c r="C51" s="258"/>
      <c r="D51" s="258"/>
      <c r="E51" s="258"/>
      <c r="F51" s="258"/>
      <c r="G51" s="258"/>
      <c r="H51" s="250"/>
      <c r="I51" s="256"/>
      <c r="J51" s="250"/>
      <c r="K51" s="250"/>
      <c r="L51" s="250"/>
      <c r="M51" s="256"/>
      <c r="N51" s="250"/>
      <c r="O51" s="250"/>
      <c r="P51" s="250"/>
      <c r="Q51" s="250"/>
      <c r="R51" s="250"/>
      <c r="S51" s="250"/>
      <c r="T51" s="250"/>
      <c r="U51" s="124" t="s">
        <v>483</v>
      </c>
      <c r="V51" s="126"/>
      <c r="W51" s="126"/>
      <c r="X51" s="117" t="s">
        <v>0</v>
      </c>
      <c r="Y51" s="114">
        <v>93</v>
      </c>
      <c r="Z51" s="62"/>
      <c r="AA51" s="79"/>
      <c r="AB51" s="80"/>
      <c r="AC51" s="118"/>
      <c r="AD51" s="250"/>
      <c r="AE51" s="251"/>
      <c r="AF51" s="31"/>
      <c r="AG51" s="81"/>
      <c r="AH51" s="81"/>
      <c r="AI51" s="81"/>
      <c r="AJ51" s="81"/>
      <c r="AK51" s="81"/>
    </row>
    <row r="52" spans="1:37" s="19" customFormat="1" ht="27.75" customHeight="1">
      <c r="A52" s="262"/>
      <c r="B52" s="271"/>
      <c r="C52" s="258"/>
      <c r="D52" s="258"/>
      <c r="E52" s="258"/>
      <c r="F52" s="258"/>
      <c r="G52" s="258"/>
      <c r="H52" s="250"/>
      <c r="I52" s="256"/>
      <c r="J52" s="250"/>
      <c r="K52" s="250"/>
      <c r="L52" s="250"/>
      <c r="M52" s="256"/>
      <c r="N52" s="250"/>
      <c r="O52" s="250"/>
      <c r="P52" s="250"/>
      <c r="Q52" s="250"/>
      <c r="R52" s="250"/>
      <c r="S52" s="250"/>
      <c r="T52" s="250"/>
      <c r="U52" s="124" t="s">
        <v>563</v>
      </c>
      <c r="V52" s="126"/>
      <c r="W52" s="126"/>
      <c r="X52" s="117" t="s">
        <v>0</v>
      </c>
      <c r="Y52" s="114">
        <v>277</v>
      </c>
      <c r="Z52" s="62"/>
      <c r="AA52" s="79"/>
      <c r="AB52" s="80"/>
      <c r="AC52" s="118"/>
      <c r="AD52" s="250"/>
      <c r="AE52" s="251"/>
      <c r="AF52" s="31"/>
      <c r="AG52" s="81"/>
      <c r="AH52" s="81"/>
      <c r="AI52" s="81"/>
      <c r="AJ52" s="81"/>
      <c r="AK52" s="81"/>
    </row>
    <row r="53" spans="1:37" s="19" customFormat="1" ht="51" customHeight="1">
      <c r="A53" s="262"/>
      <c r="B53" s="271"/>
      <c r="C53" s="258"/>
      <c r="D53" s="258"/>
      <c r="E53" s="258"/>
      <c r="F53" s="258"/>
      <c r="G53" s="258"/>
      <c r="H53" s="250"/>
      <c r="I53" s="256"/>
      <c r="J53" s="250"/>
      <c r="K53" s="250"/>
      <c r="L53" s="250"/>
      <c r="M53" s="256"/>
      <c r="N53" s="250"/>
      <c r="O53" s="250"/>
      <c r="P53" s="250"/>
      <c r="Q53" s="250"/>
      <c r="R53" s="250"/>
      <c r="S53" s="250"/>
      <c r="T53" s="250"/>
      <c r="U53" s="124" t="s">
        <v>564</v>
      </c>
      <c r="V53" s="126"/>
      <c r="W53" s="126"/>
      <c r="X53" s="117" t="s">
        <v>400</v>
      </c>
      <c r="Y53" s="114">
        <v>7</v>
      </c>
      <c r="Z53" s="62"/>
      <c r="AA53" s="79"/>
      <c r="AB53" s="80"/>
      <c r="AC53" s="118"/>
      <c r="AD53" s="250"/>
      <c r="AE53" s="251"/>
      <c r="AF53" s="31"/>
      <c r="AG53" s="81"/>
      <c r="AH53" s="81"/>
      <c r="AI53" s="81"/>
      <c r="AJ53" s="81"/>
      <c r="AK53" s="81"/>
    </row>
    <row r="54" spans="1:37" s="19" customFormat="1" ht="60.75" customHeight="1">
      <c r="A54" s="262"/>
      <c r="B54" s="271"/>
      <c r="C54" s="258"/>
      <c r="D54" s="258"/>
      <c r="E54" s="258"/>
      <c r="F54" s="258"/>
      <c r="G54" s="258"/>
      <c r="H54" s="250"/>
      <c r="I54" s="256"/>
      <c r="J54" s="250"/>
      <c r="K54" s="250"/>
      <c r="L54" s="250"/>
      <c r="M54" s="256"/>
      <c r="N54" s="250"/>
      <c r="O54" s="250"/>
      <c r="P54" s="250"/>
      <c r="Q54" s="250"/>
      <c r="R54" s="250"/>
      <c r="S54" s="250"/>
      <c r="T54" s="250"/>
      <c r="U54" s="124" t="s">
        <v>565</v>
      </c>
      <c r="V54" s="126"/>
      <c r="W54" s="126"/>
      <c r="X54" s="117" t="s">
        <v>630</v>
      </c>
      <c r="Y54" s="114">
        <v>12</v>
      </c>
      <c r="Z54" s="62"/>
      <c r="AA54" s="79"/>
      <c r="AB54" s="80"/>
      <c r="AC54" s="118"/>
      <c r="AD54" s="250"/>
      <c r="AE54" s="251"/>
      <c r="AF54" s="31"/>
      <c r="AG54" s="81"/>
      <c r="AH54" s="81"/>
      <c r="AI54" s="81"/>
      <c r="AJ54" s="81"/>
      <c r="AK54" s="81"/>
    </row>
    <row r="55" spans="1:37" s="19" customFormat="1" ht="27.75" customHeight="1">
      <c r="A55" s="262"/>
      <c r="B55" s="271"/>
      <c r="C55" s="258"/>
      <c r="D55" s="258"/>
      <c r="E55" s="258"/>
      <c r="F55" s="258"/>
      <c r="G55" s="258"/>
      <c r="H55" s="250"/>
      <c r="I55" s="256"/>
      <c r="J55" s="250"/>
      <c r="K55" s="250"/>
      <c r="L55" s="250"/>
      <c r="M55" s="256"/>
      <c r="N55" s="250"/>
      <c r="O55" s="250"/>
      <c r="P55" s="250"/>
      <c r="Q55" s="250"/>
      <c r="R55" s="250"/>
      <c r="S55" s="250"/>
      <c r="T55" s="250"/>
      <c r="U55" s="124" t="s">
        <v>436</v>
      </c>
      <c r="V55" s="126"/>
      <c r="W55" s="126"/>
      <c r="X55" s="117" t="s">
        <v>3</v>
      </c>
      <c r="Y55" s="114">
        <v>2</v>
      </c>
      <c r="Z55" s="62"/>
      <c r="AA55" s="79"/>
      <c r="AB55" s="80"/>
      <c r="AC55" s="118"/>
      <c r="AD55" s="250"/>
      <c r="AE55" s="251"/>
      <c r="AF55" s="31"/>
      <c r="AG55" s="81"/>
      <c r="AH55" s="81"/>
      <c r="AI55" s="81"/>
      <c r="AJ55" s="81"/>
      <c r="AK55" s="81"/>
    </row>
    <row r="56" spans="1:37" s="19" customFormat="1" ht="39.75" customHeight="1">
      <c r="A56" s="262"/>
      <c r="B56" s="271"/>
      <c r="C56" s="258"/>
      <c r="D56" s="258"/>
      <c r="E56" s="258"/>
      <c r="F56" s="258"/>
      <c r="G56" s="258"/>
      <c r="H56" s="250"/>
      <c r="I56" s="256"/>
      <c r="J56" s="250"/>
      <c r="K56" s="250"/>
      <c r="L56" s="250"/>
      <c r="M56" s="256"/>
      <c r="N56" s="250"/>
      <c r="O56" s="250"/>
      <c r="P56" s="250"/>
      <c r="Q56" s="250"/>
      <c r="R56" s="250"/>
      <c r="S56" s="250"/>
      <c r="T56" s="250"/>
      <c r="U56" s="124" t="s">
        <v>566</v>
      </c>
      <c r="V56" s="126"/>
      <c r="W56" s="126"/>
      <c r="X56" s="117" t="s">
        <v>630</v>
      </c>
      <c r="Y56" s="114">
        <v>2.5</v>
      </c>
      <c r="Z56" s="62"/>
      <c r="AA56" s="79"/>
      <c r="AB56" s="80"/>
      <c r="AC56" s="118"/>
      <c r="AD56" s="250"/>
      <c r="AE56" s="251"/>
      <c r="AF56" s="31"/>
      <c r="AG56" s="81"/>
      <c r="AH56" s="81"/>
      <c r="AI56" s="81"/>
      <c r="AJ56" s="81"/>
      <c r="AK56" s="81"/>
    </row>
    <row r="57" spans="1:37" s="19" customFormat="1" ht="50.25" customHeight="1">
      <c r="A57" s="262"/>
      <c r="B57" s="271"/>
      <c r="C57" s="258"/>
      <c r="D57" s="258"/>
      <c r="E57" s="258"/>
      <c r="F57" s="258"/>
      <c r="G57" s="258"/>
      <c r="H57" s="250"/>
      <c r="I57" s="256"/>
      <c r="J57" s="250"/>
      <c r="K57" s="250"/>
      <c r="L57" s="250"/>
      <c r="M57" s="256"/>
      <c r="N57" s="250"/>
      <c r="O57" s="250"/>
      <c r="P57" s="250"/>
      <c r="Q57" s="250"/>
      <c r="R57" s="250"/>
      <c r="S57" s="250"/>
      <c r="T57" s="250"/>
      <c r="U57" s="124" t="s">
        <v>567</v>
      </c>
      <c r="V57" s="126"/>
      <c r="W57" s="126"/>
      <c r="X57" s="117" t="s">
        <v>0</v>
      </c>
      <c r="Y57" s="114">
        <v>12</v>
      </c>
      <c r="Z57" s="123"/>
      <c r="AA57" s="79"/>
      <c r="AB57" s="80"/>
      <c r="AC57" s="118">
        <f t="shared" ref="AC57:AC58" si="7">Y57*Z57*AB57</f>
        <v>0</v>
      </c>
      <c r="AD57" s="250"/>
      <c r="AE57" s="251"/>
      <c r="AF57" s="31"/>
      <c r="AG57" s="81"/>
      <c r="AH57" s="81"/>
      <c r="AI57" s="81"/>
      <c r="AJ57" s="81"/>
      <c r="AK57" s="81"/>
    </row>
    <row r="58" spans="1:37" s="19" customFormat="1" ht="27" customHeight="1">
      <c r="A58" s="262"/>
      <c r="B58" s="271"/>
      <c r="C58" s="119"/>
      <c r="D58" s="119">
        <v>64</v>
      </c>
      <c r="E58" s="119">
        <v>415</v>
      </c>
      <c r="F58" s="119">
        <v>393.6</v>
      </c>
      <c r="G58" s="119" t="s">
        <v>28</v>
      </c>
      <c r="H58" s="123">
        <v>396</v>
      </c>
      <c r="I58" s="127">
        <f>F58-H58</f>
        <v>-2.3999999999999773</v>
      </c>
      <c r="J58" s="250"/>
      <c r="K58" s="250"/>
      <c r="L58" s="250"/>
      <c r="M58" s="256"/>
      <c r="N58" s="250"/>
      <c r="O58" s="250"/>
      <c r="P58" s="250"/>
      <c r="Q58" s="250"/>
      <c r="R58" s="250"/>
      <c r="S58" s="250"/>
      <c r="T58" s="250"/>
      <c r="U58" s="82" t="s">
        <v>446</v>
      </c>
      <c r="V58" s="126"/>
      <c r="W58" s="126"/>
      <c r="X58" s="117" t="s">
        <v>0</v>
      </c>
      <c r="Y58" s="83">
        <v>393</v>
      </c>
      <c r="Z58" s="62">
        <v>180000</v>
      </c>
      <c r="AA58" s="84"/>
      <c r="AB58" s="68">
        <v>1</v>
      </c>
      <c r="AC58" s="118">
        <f t="shared" si="7"/>
        <v>70740000</v>
      </c>
      <c r="AD58" s="118">
        <f>SUM(AC58:AC58)</f>
        <v>70740000</v>
      </c>
      <c r="AE58" s="251"/>
      <c r="AF58" s="31"/>
      <c r="AG58" s="81"/>
      <c r="AH58" s="81"/>
      <c r="AI58" s="81"/>
      <c r="AJ58" s="81"/>
      <c r="AK58" s="81"/>
    </row>
    <row r="59" spans="1:37" s="19" customFormat="1" ht="21.75" customHeight="1">
      <c r="A59" s="262">
        <v>9</v>
      </c>
      <c r="B59" s="263" t="s">
        <v>502</v>
      </c>
      <c r="C59" s="119"/>
      <c r="D59" s="258">
        <v>64</v>
      </c>
      <c r="E59" s="258">
        <v>428</v>
      </c>
      <c r="F59" s="258">
        <v>211.8</v>
      </c>
      <c r="G59" s="258" t="s">
        <v>28</v>
      </c>
      <c r="H59" s="250">
        <v>216</v>
      </c>
      <c r="I59" s="256">
        <f>F59-H59</f>
        <v>-4.1999999999999886</v>
      </c>
      <c r="J59" s="264">
        <v>216</v>
      </c>
      <c r="K59" s="264">
        <v>720</v>
      </c>
      <c r="L59" s="119"/>
      <c r="M59" s="277">
        <f>J59/K59*100</f>
        <v>30</v>
      </c>
      <c r="N59" s="264">
        <v>6</v>
      </c>
      <c r="O59" s="264">
        <v>4</v>
      </c>
      <c r="P59" s="264">
        <v>80000</v>
      </c>
      <c r="Q59" s="264">
        <f>P59*J59</f>
        <v>17280000</v>
      </c>
      <c r="R59" s="264">
        <f>Q59*3</f>
        <v>51840000</v>
      </c>
      <c r="S59" s="264">
        <f>N59*O59*17000*30</f>
        <v>12240000</v>
      </c>
      <c r="T59" s="264">
        <f>SUM(Q59:S63)</f>
        <v>81360000</v>
      </c>
      <c r="U59" s="82" t="s">
        <v>446</v>
      </c>
      <c r="V59" s="126"/>
      <c r="W59" s="126"/>
      <c r="X59" s="117" t="s">
        <v>0</v>
      </c>
      <c r="Y59" s="83">
        <v>200</v>
      </c>
      <c r="Z59" s="62">
        <v>180000</v>
      </c>
      <c r="AA59" s="84"/>
      <c r="AB59" s="68">
        <v>1</v>
      </c>
      <c r="AC59" s="118">
        <f>Y59*Z59*AB59</f>
        <v>36000000</v>
      </c>
      <c r="AD59" s="250">
        <f>SUM(AC59:AC63)</f>
        <v>37000000</v>
      </c>
      <c r="AE59" s="251">
        <f>T59+AD59</f>
        <v>118360000</v>
      </c>
      <c r="AF59" s="31"/>
      <c r="AG59" s="81"/>
      <c r="AH59" s="81"/>
      <c r="AI59" s="81"/>
      <c r="AJ59" s="81"/>
      <c r="AK59" s="81"/>
    </row>
    <row r="60" spans="1:37" s="19" customFormat="1" ht="37.5" customHeight="1">
      <c r="A60" s="262"/>
      <c r="B60" s="263"/>
      <c r="C60" s="119"/>
      <c r="D60" s="258"/>
      <c r="E60" s="258"/>
      <c r="F60" s="258"/>
      <c r="G60" s="258"/>
      <c r="H60" s="250"/>
      <c r="I60" s="256"/>
      <c r="J60" s="264"/>
      <c r="K60" s="264"/>
      <c r="L60" s="119"/>
      <c r="M60" s="277"/>
      <c r="N60" s="264"/>
      <c r="O60" s="264"/>
      <c r="P60" s="264"/>
      <c r="Q60" s="264"/>
      <c r="R60" s="264"/>
      <c r="S60" s="264"/>
      <c r="T60" s="264"/>
      <c r="U60" s="124" t="s">
        <v>498</v>
      </c>
      <c r="V60" s="126">
        <v>25</v>
      </c>
      <c r="W60" s="126">
        <f>(H59-Y59)/25</f>
        <v>0.64</v>
      </c>
      <c r="X60" s="117" t="s">
        <v>2</v>
      </c>
      <c r="Y60" s="114">
        <v>2</v>
      </c>
      <c r="Z60" s="123"/>
      <c r="AA60" s="79"/>
      <c r="AB60" s="80"/>
      <c r="AC60" s="118"/>
      <c r="AD60" s="250"/>
      <c r="AE60" s="251"/>
      <c r="AF60" s="31"/>
      <c r="AG60" s="81"/>
      <c r="AH60" s="81"/>
      <c r="AI60" s="81"/>
      <c r="AJ60" s="81"/>
      <c r="AK60" s="81"/>
    </row>
    <row r="61" spans="1:37" s="19" customFormat="1" ht="21.75" customHeight="1">
      <c r="A61" s="262"/>
      <c r="B61" s="263"/>
      <c r="C61" s="119"/>
      <c r="D61" s="258"/>
      <c r="E61" s="258"/>
      <c r="F61" s="258"/>
      <c r="G61" s="258"/>
      <c r="H61" s="250"/>
      <c r="I61" s="256"/>
      <c r="J61" s="264"/>
      <c r="K61" s="264"/>
      <c r="L61" s="119"/>
      <c r="M61" s="277"/>
      <c r="N61" s="264"/>
      <c r="O61" s="264"/>
      <c r="P61" s="264"/>
      <c r="Q61" s="264"/>
      <c r="R61" s="264"/>
      <c r="S61" s="264"/>
      <c r="T61" s="264"/>
      <c r="U61" s="67" t="s">
        <v>421</v>
      </c>
      <c r="V61" s="126"/>
      <c r="W61" s="126"/>
      <c r="X61" s="117" t="s">
        <v>2</v>
      </c>
      <c r="Y61" s="118">
        <v>1</v>
      </c>
      <c r="Z61" s="62">
        <v>1000000</v>
      </c>
      <c r="AA61" s="86"/>
      <c r="AB61" s="68">
        <v>1</v>
      </c>
      <c r="AC61" s="118">
        <f t="shared" ref="AC61:AC62" si="8">Y61*Z61*AB61</f>
        <v>1000000</v>
      </c>
      <c r="AD61" s="250"/>
      <c r="AE61" s="251"/>
      <c r="AF61" s="31"/>
      <c r="AG61" s="81"/>
      <c r="AH61" s="81"/>
      <c r="AI61" s="81"/>
      <c r="AJ61" s="81"/>
      <c r="AK61" s="81"/>
    </row>
    <row r="62" spans="1:37" s="19" customFormat="1" ht="21.75" customHeight="1">
      <c r="A62" s="262"/>
      <c r="B62" s="263"/>
      <c r="C62" s="119"/>
      <c r="D62" s="258"/>
      <c r="E62" s="258"/>
      <c r="F62" s="258"/>
      <c r="G62" s="258"/>
      <c r="H62" s="250"/>
      <c r="I62" s="256"/>
      <c r="J62" s="264"/>
      <c r="K62" s="264"/>
      <c r="L62" s="119"/>
      <c r="M62" s="277"/>
      <c r="N62" s="264"/>
      <c r="O62" s="264"/>
      <c r="P62" s="264"/>
      <c r="Q62" s="264"/>
      <c r="R62" s="264"/>
      <c r="S62" s="264"/>
      <c r="T62" s="264"/>
      <c r="U62" s="67" t="s">
        <v>424</v>
      </c>
      <c r="V62" s="126"/>
      <c r="W62" s="126">
        <f>0.3*W60</f>
        <v>0.192</v>
      </c>
      <c r="X62" s="117" t="s">
        <v>2</v>
      </c>
      <c r="Y62" s="118">
        <v>1</v>
      </c>
      <c r="Z62" s="62">
        <v>1000000</v>
      </c>
      <c r="AA62" s="79"/>
      <c r="AB62" s="68">
        <v>0</v>
      </c>
      <c r="AC62" s="118">
        <f t="shared" si="8"/>
        <v>0</v>
      </c>
      <c r="AD62" s="250"/>
      <c r="AE62" s="251"/>
      <c r="AF62" s="31"/>
      <c r="AG62" s="81"/>
      <c r="AH62" s="81"/>
      <c r="AI62" s="81"/>
      <c r="AJ62" s="81"/>
      <c r="AK62" s="81"/>
    </row>
    <row r="63" spans="1:37" s="19" customFormat="1" ht="43.5" customHeight="1">
      <c r="A63" s="262"/>
      <c r="B63" s="263"/>
      <c r="C63" s="119"/>
      <c r="D63" s="258"/>
      <c r="E63" s="258"/>
      <c r="F63" s="258"/>
      <c r="G63" s="258"/>
      <c r="H63" s="250"/>
      <c r="I63" s="256"/>
      <c r="J63" s="264"/>
      <c r="K63" s="264"/>
      <c r="L63" s="119"/>
      <c r="M63" s="277"/>
      <c r="N63" s="264"/>
      <c r="O63" s="264"/>
      <c r="P63" s="264"/>
      <c r="Q63" s="264"/>
      <c r="R63" s="264"/>
      <c r="S63" s="264"/>
      <c r="T63" s="264"/>
      <c r="U63" s="124" t="s">
        <v>499</v>
      </c>
      <c r="V63" s="126"/>
      <c r="W63" s="126"/>
      <c r="X63" s="117" t="s">
        <v>630</v>
      </c>
      <c r="Y63" s="114">
        <v>0.2</v>
      </c>
      <c r="Z63" s="62"/>
      <c r="AA63" s="86"/>
      <c r="AB63" s="68">
        <v>0</v>
      </c>
      <c r="AC63" s="118"/>
      <c r="AD63" s="250"/>
      <c r="AE63" s="251"/>
      <c r="AF63" s="31"/>
      <c r="AG63" s="81"/>
      <c r="AH63" s="81"/>
      <c r="AI63" s="81"/>
      <c r="AJ63" s="81"/>
      <c r="AK63" s="81"/>
    </row>
    <row r="64" spans="1:37" s="27" customFormat="1" ht="39.75" customHeight="1">
      <c r="A64" s="274">
        <v>10</v>
      </c>
      <c r="B64" s="271" t="s">
        <v>409</v>
      </c>
      <c r="C64" s="271" t="s">
        <v>409</v>
      </c>
      <c r="D64" s="258">
        <v>64</v>
      </c>
      <c r="E64" s="258">
        <v>472</v>
      </c>
      <c r="F64" s="258">
        <v>941.9</v>
      </c>
      <c r="G64" s="258" t="s">
        <v>28</v>
      </c>
      <c r="H64" s="250">
        <v>936</v>
      </c>
      <c r="I64" s="256">
        <f>F64-H64</f>
        <v>5.8999999999999773</v>
      </c>
      <c r="J64" s="251">
        <v>936</v>
      </c>
      <c r="K64" s="251">
        <v>1296</v>
      </c>
      <c r="L64" s="250">
        <v>936</v>
      </c>
      <c r="M64" s="272">
        <f>J64/K64*100</f>
        <v>72.222222222222214</v>
      </c>
      <c r="N64" s="250">
        <v>12</v>
      </c>
      <c r="O64" s="250">
        <v>8</v>
      </c>
      <c r="P64" s="250">
        <v>80000</v>
      </c>
      <c r="Q64" s="250">
        <f>P64*J64</f>
        <v>74880000</v>
      </c>
      <c r="R64" s="250">
        <f>Q64*3</f>
        <v>224640000</v>
      </c>
      <c r="S64" s="250">
        <f>N64*O64*17000*30</f>
        <v>48960000</v>
      </c>
      <c r="T64" s="250">
        <f>SUM(Q64:S68)</f>
        <v>348480000</v>
      </c>
      <c r="U64" s="82" t="s">
        <v>457</v>
      </c>
      <c r="V64" s="50">
        <v>25</v>
      </c>
      <c r="W64" s="50">
        <f>J64/V64</f>
        <v>37.44</v>
      </c>
      <c r="X64" s="117" t="s">
        <v>2</v>
      </c>
      <c r="Y64" s="118">
        <v>35</v>
      </c>
      <c r="Z64" s="62"/>
      <c r="AA64" s="84"/>
      <c r="AB64" s="68"/>
      <c r="AC64" s="118">
        <f>Y64*Z64*AB64</f>
        <v>0</v>
      </c>
      <c r="AD64" s="250">
        <f>SUM(AC64:AC68)</f>
        <v>176250000</v>
      </c>
      <c r="AE64" s="251">
        <f>T64+AD64</f>
        <v>524730000</v>
      </c>
      <c r="AF64" s="87">
        <f>Y64*25</f>
        <v>875</v>
      </c>
      <c r="AG64" s="88" t="s">
        <v>395</v>
      </c>
      <c r="AH64" s="88"/>
      <c r="AI64" s="252" t="s">
        <v>657</v>
      </c>
      <c r="AJ64" s="259" t="s">
        <v>681</v>
      </c>
      <c r="AK64" s="89"/>
    </row>
    <row r="65" spans="1:37" s="27" customFormat="1" ht="23.25" customHeight="1">
      <c r="A65" s="275"/>
      <c r="B65" s="271"/>
      <c r="C65" s="271"/>
      <c r="D65" s="258"/>
      <c r="E65" s="258"/>
      <c r="F65" s="258"/>
      <c r="G65" s="258"/>
      <c r="H65" s="250"/>
      <c r="I65" s="256"/>
      <c r="J65" s="251"/>
      <c r="K65" s="251"/>
      <c r="L65" s="250"/>
      <c r="M65" s="272"/>
      <c r="N65" s="250"/>
      <c r="O65" s="250"/>
      <c r="P65" s="250"/>
      <c r="Q65" s="250"/>
      <c r="R65" s="250"/>
      <c r="S65" s="250"/>
      <c r="T65" s="250"/>
      <c r="U65" s="67" t="s">
        <v>421</v>
      </c>
      <c r="V65" s="50"/>
      <c r="W65" s="50"/>
      <c r="X65" s="117" t="s">
        <v>2</v>
      </c>
      <c r="Y65" s="118">
        <v>35</v>
      </c>
      <c r="Z65" s="62">
        <v>4500000</v>
      </c>
      <c r="AA65" s="84"/>
      <c r="AB65" s="68">
        <v>1</v>
      </c>
      <c r="AC65" s="118">
        <f>Y65*Z65*AB65</f>
        <v>157500000</v>
      </c>
      <c r="AD65" s="250"/>
      <c r="AE65" s="251"/>
      <c r="AF65" s="87"/>
      <c r="AG65" s="88"/>
      <c r="AH65" s="88"/>
      <c r="AI65" s="252"/>
      <c r="AJ65" s="260"/>
      <c r="AK65" s="89"/>
    </row>
    <row r="66" spans="1:37" s="27" customFormat="1" ht="42.75" customHeight="1">
      <c r="A66" s="275"/>
      <c r="B66" s="271"/>
      <c r="C66" s="271"/>
      <c r="D66" s="258"/>
      <c r="E66" s="258"/>
      <c r="F66" s="258"/>
      <c r="G66" s="258"/>
      <c r="H66" s="250"/>
      <c r="I66" s="256"/>
      <c r="J66" s="251"/>
      <c r="K66" s="251"/>
      <c r="L66" s="250"/>
      <c r="M66" s="272"/>
      <c r="N66" s="250"/>
      <c r="O66" s="250"/>
      <c r="P66" s="250"/>
      <c r="Q66" s="250"/>
      <c r="R66" s="250"/>
      <c r="S66" s="250"/>
      <c r="T66" s="250"/>
      <c r="U66" s="82" t="s">
        <v>460</v>
      </c>
      <c r="V66" s="50">
        <v>20</v>
      </c>
      <c r="W66" s="50">
        <f>J64/V66</f>
        <v>46.8</v>
      </c>
      <c r="X66" s="117" t="s">
        <v>2</v>
      </c>
      <c r="Y66" s="118">
        <v>15</v>
      </c>
      <c r="Z66" s="62"/>
      <c r="AA66" s="84"/>
      <c r="AB66" s="68"/>
      <c r="AC66" s="118">
        <f>Y66*Z66*AB66</f>
        <v>0</v>
      </c>
      <c r="AD66" s="250"/>
      <c r="AE66" s="251"/>
      <c r="AF66" s="87"/>
      <c r="AG66" s="88"/>
      <c r="AH66" s="88"/>
      <c r="AI66" s="252"/>
      <c r="AJ66" s="260"/>
      <c r="AK66" s="89"/>
    </row>
    <row r="67" spans="1:37" s="27" customFormat="1" ht="27.75" customHeight="1">
      <c r="A67" s="275"/>
      <c r="B67" s="271"/>
      <c r="C67" s="271"/>
      <c r="D67" s="258"/>
      <c r="E67" s="258"/>
      <c r="F67" s="258"/>
      <c r="G67" s="258"/>
      <c r="H67" s="250"/>
      <c r="I67" s="256"/>
      <c r="J67" s="251"/>
      <c r="K67" s="251"/>
      <c r="L67" s="250"/>
      <c r="M67" s="272"/>
      <c r="N67" s="250"/>
      <c r="O67" s="250"/>
      <c r="P67" s="250"/>
      <c r="Q67" s="250"/>
      <c r="R67" s="250"/>
      <c r="S67" s="250"/>
      <c r="T67" s="250"/>
      <c r="U67" s="67" t="s">
        <v>421</v>
      </c>
      <c r="V67" s="50"/>
      <c r="W67" s="50"/>
      <c r="X67" s="117" t="s">
        <v>2</v>
      </c>
      <c r="Y67" s="118">
        <v>15</v>
      </c>
      <c r="Z67" s="62">
        <v>2500000</v>
      </c>
      <c r="AA67" s="84"/>
      <c r="AB67" s="68">
        <v>0.5</v>
      </c>
      <c r="AC67" s="118">
        <f>Y67*Z67*AB67</f>
        <v>18750000</v>
      </c>
      <c r="AD67" s="250"/>
      <c r="AE67" s="251"/>
      <c r="AF67" s="87"/>
      <c r="AG67" s="88"/>
      <c r="AH67" s="88"/>
      <c r="AI67" s="252"/>
      <c r="AJ67" s="260"/>
      <c r="AK67" s="89"/>
    </row>
    <row r="68" spans="1:37" s="27" customFormat="1" ht="27.75" customHeight="1">
      <c r="A68" s="276"/>
      <c r="B68" s="271"/>
      <c r="C68" s="271"/>
      <c r="D68" s="258"/>
      <c r="E68" s="258"/>
      <c r="F68" s="258"/>
      <c r="G68" s="258"/>
      <c r="H68" s="250"/>
      <c r="I68" s="256"/>
      <c r="J68" s="251"/>
      <c r="K68" s="251"/>
      <c r="L68" s="250"/>
      <c r="M68" s="272"/>
      <c r="N68" s="250"/>
      <c r="O68" s="250"/>
      <c r="P68" s="250"/>
      <c r="Q68" s="250"/>
      <c r="R68" s="250"/>
      <c r="S68" s="250"/>
      <c r="T68" s="250"/>
      <c r="U68" s="124" t="s">
        <v>419</v>
      </c>
      <c r="V68" s="117"/>
      <c r="W68" s="117"/>
      <c r="X68" s="117" t="s">
        <v>399</v>
      </c>
      <c r="Y68" s="118">
        <v>1</v>
      </c>
      <c r="Z68" s="62"/>
      <c r="AA68" s="84"/>
      <c r="AB68" s="117">
        <v>0</v>
      </c>
      <c r="AC68" s="118">
        <f t="shared" ref="AC68" si="9">Y68*Z68*AB68/100</f>
        <v>0</v>
      </c>
      <c r="AD68" s="250"/>
      <c r="AE68" s="251"/>
      <c r="AF68" s="87"/>
      <c r="AG68" s="88"/>
      <c r="AH68" s="88"/>
      <c r="AI68" s="252"/>
      <c r="AJ68" s="261"/>
      <c r="AK68" s="89"/>
    </row>
    <row r="69" spans="1:37" s="27" customFormat="1" ht="42.75" customHeight="1">
      <c r="A69" s="262">
        <v>11</v>
      </c>
      <c r="B69" s="271" t="s">
        <v>412</v>
      </c>
      <c r="C69" s="271" t="s">
        <v>412</v>
      </c>
      <c r="D69" s="258">
        <v>3</v>
      </c>
      <c r="E69" s="258">
        <v>443</v>
      </c>
      <c r="F69" s="258">
        <v>465.5</v>
      </c>
      <c r="G69" s="258" t="s">
        <v>28</v>
      </c>
      <c r="H69" s="250">
        <v>450</v>
      </c>
      <c r="I69" s="256">
        <f>F69-H69</f>
        <v>15.5</v>
      </c>
      <c r="J69" s="251">
        <v>450</v>
      </c>
      <c r="K69" s="251">
        <v>2520</v>
      </c>
      <c r="L69" s="250">
        <v>450</v>
      </c>
      <c r="M69" s="272">
        <f>J69/K69*100</f>
        <v>17.857142857142858</v>
      </c>
      <c r="N69" s="250">
        <v>3</v>
      </c>
      <c r="O69" s="250">
        <v>5</v>
      </c>
      <c r="P69" s="250">
        <v>80000</v>
      </c>
      <c r="Q69" s="250">
        <f>P69*J69</f>
        <v>36000000</v>
      </c>
      <c r="R69" s="250">
        <f>Q69*3</f>
        <v>108000000</v>
      </c>
      <c r="S69" s="250">
        <f>N69*O69*17000*30</f>
        <v>7650000</v>
      </c>
      <c r="T69" s="250">
        <f>SUM(Q69:S75)</f>
        <v>151650000</v>
      </c>
      <c r="U69" s="124" t="s">
        <v>622</v>
      </c>
      <c r="V69" s="117">
        <v>25</v>
      </c>
      <c r="W69" s="117">
        <f>J69/V69</f>
        <v>18</v>
      </c>
      <c r="X69" s="117" t="s">
        <v>2</v>
      </c>
      <c r="Y69" s="118">
        <v>7</v>
      </c>
      <c r="Z69" s="62"/>
      <c r="AA69" s="84"/>
      <c r="AB69" s="68"/>
      <c r="AC69" s="118">
        <f>Y69*Z69*AB69</f>
        <v>0</v>
      </c>
      <c r="AD69" s="250">
        <f>SUM(AC69:AC75)</f>
        <v>79625000</v>
      </c>
      <c r="AE69" s="251">
        <f>T69+AD69</f>
        <v>231275000</v>
      </c>
      <c r="AF69" s="90">
        <f>Y69*25</f>
        <v>175</v>
      </c>
      <c r="AG69" s="88" t="s">
        <v>658</v>
      </c>
      <c r="AH69" s="88"/>
      <c r="AI69" s="252" t="s">
        <v>659</v>
      </c>
      <c r="AJ69" s="259" t="s">
        <v>681</v>
      </c>
      <c r="AK69" s="89"/>
    </row>
    <row r="70" spans="1:37" s="27" customFormat="1" ht="23.25" customHeight="1">
      <c r="A70" s="262"/>
      <c r="B70" s="271"/>
      <c r="C70" s="271"/>
      <c r="D70" s="258"/>
      <c r="E70" s="258"/>
      <c r="F70" s="258"/>
      <c r="G70" s="258"/>
      <c r="H70" s="250"/>
      <c r="I70" s="256"/>
      <c r="J70" s="251"/>
      <c r="K70" s="251"/>
      <c r="L70" s="250"/>
      <c r="M70" s="272"/>
      <c r="N70" s="250"/>
      <c r="O70" s="250"/>
      <c r="P70" s="250"/>
      <c r="Q70" s="250"/>
      <c r="R70" s="250"/>
      <c r="S70" s="250"/>
      <c r="T70" s="250"/>
      <c r="U70" s="67" t="s">
        <v>421</v>
      </c>
      <c r="V70" s="117"/>
      <c r="W70" s="117"/>
      <c r="X70" s="117" t="s">
        <v>2</v>
      </c>
      <c r="Y70" s="118">
        <v>7</v>
      </c>
      <c r="Z70" s="62">
        <v>4500000</v>
      </c>
      <c r="AA70" s="84"/>
      <c r="AB70" s="68">
        <v>1</v>
      </c>
      <c r="AC70" s="118">
        <f>Y70*Z70*AB70</f>
        <v>31500000</v>
      </c>
      <c r="AD70" s="250"/>
      <c r="AE70" s="251"/>
      <c r="AF70" s="90"/>
      <c r="AG70" s="88"/>
      <c r="AH70" s="88"/>
      <c r="AI70" s="252"/>
      <c r="AJ70" s="260"/>
      <c r="AK70" s="89"/>
    </row>
    <row r="71" spans="1:37" s="27" customFormat="1" ht="51" customHeight="1">
      <c r="A71" s="262"/>
      <c r="B71" s="271"/>
      <c r="C71" s="271"/>
      <c r="D71" s="258"/>
      <c r="E71" s="258"/>
      <c r="F71" s="258"/>
      <c r="G71" s="258"/>
      <c r="H71" s="250"/>
      <c r="I71" s="256"/>
      <c r="J71" s="251"/>
      <c r="K71" s="251"/>
      <c r="L71" s="250"/>
      <c r="M71" s="272"/>
      <c r="N71" s="250"/>
      <c r="O71" s="250"/>
      <c r="P71" s="250"/>
      <c r="Q71" s="250"/>
      <c r="R71" s="250"/>
      <c r="S71" s="250"/>
      <c r="T71" s="250"/>
      <c r="U71" s="82" t="s">
        <v>660</v>
      </c>
      <c r="V71" s="50"/>
      <c r="W71" s="50"/>
      <c r="X71" s="117" t="s">
        <v>2</v>
      </c>
      <c r="Y71" s="118">
        <v>14</v>
      </c>
      <c r="Z71" s="62"/>
      <c r="AA71" s="84"/>
      <c r="AB71" s="68"/>
      <c r="AC71" s="118">
        <f>Y71*Z71*AB71</f>
        <v>0</v>
      </c>
      <c r="AD71" s="250"/>
      <c r="AE71" s="251"/>
      <c r="AF71" s="90">
        <f>Y71*25</f>
        <v>350</v>
      </c>
      <c r="AG71" s="88"/>
      <c r="AH71" s="88"/>
      <c r="AI71" s="252"/>
      <c r="AJ71" s="260"/>
      <c r="AK71" s="89"/>
    </row>
    <row r="72" spans="1:37" s="27" customFormat="1" ht="23.25" customHeight="1">
      <c r="A72" s="262"/>
      <c r="B72" s="271"/>
      <c r="C72" s="271"/>
      <c r="D72" s="258"/>
      <c r="E72" s="258"/>
      <c r="F72" s="258"/>
      <c r="G72" s="258"/>
      <c r="H72" s="250"/>
      <c r="I72" s="256"/>
      <c r="J72" s="251"/>
      <c r="K72" s="251"/>
      <c r="L72" s="250"/>
      <c r="M72" s="272"/>
      <c r="N72" s="250"/>
      <c r="O72" s="250"/>
      <c r="P72" s="250"/>
      <c r="Q72" s="250"/>
      <c r="R72" s="250"/>
      <c r="S72" s="250"/>
      <c r="T72" s="250"/>
      <c r="U72" s="67" t="s">
        <v>421</v>
      </c>
      <c r="V72" s="50"/>
      <c r="W72" s="50"/>
      <c r="X72" s="117" t="s">
        <v>2</v>
      </c>
      <c r="Y72" s="118">
        <f>18-Y70</f>
        <v>11</v>
      </c>
      <c r="Z72" s="62">
        <v>3850000</v>
      </c>
      <c r="AA72" s="84"/>
      <c r="AB72" s="68">
        <v>1</v>
      </c>
      <c r="AC72" s="118">
        <f>Y72*Z72*AB72</f>
        <v>42350000</v>
      </c>
      <c r="AD72" s="250"/>
      <c r="AE72" s="251"/>
      <c r="AF72" s="90"/>
      <c r="AG72" s="88"/>
      <c r="AH72" s="88"/>
      <c r="AI72" s="252"/>
      <c r="AJ72" s="260"/>
      <c r="AK72" s="89"/>
    </row>
    <row r="73" spans="1:37" s="27" customFormat="1" ht="23.25" customHeight="1">
      <c r="A73" s="262"/>
      <c r="B73" s="271"/>
      <c r="C73" s="271"/>
      <c r="D73" s="258"/>
      <c r="E73" s="258"/>
      <c r="F73" s="258"/>
      <c r="G73" s="258"/>
      <c r="H73" s="250"/>
      <c r="I73" s="256"/>
      <c r="J73" s="251"/>
      <c r="K73" s="251"/>
      <c r="L73" s="250"/>
      <c r="M73" s="272"/>
      <c r="N73" s="250"/>
      <c r="O73" s="250"/>
      <c r="P73" s="250"/>
      <c r="Q73" s="250"/>
      <c r="R73" s="250"/>
      <c r="S73" s="250"/>
      <c r="T73" s="250"/>
      <c r="U73" s="67" t="s">
        <v>423</v>
      </c>
      <c r="V73" s="50"/>
      <c r="W73" s="50"/>
      <c r="X73" s="117" t="s">
        <v>2</v>
      </c>
      <c r="Y73" s="118">
        <v>3</v>
      </c>
      <c r="Z73" s="62">
        <v>3850000</v>
      </c>
      <c r="AA73" s="84"/>
      <c r="AB73" s="68">
        <v>0.5</v>
      </c>
      <c r="AC73" s="118">
        <f>Y73*Z73*AB73</f>
        <v>5775000</v>
      </c>
      <c r="AD73" s="250"/>
      <c r="AE73" s="251"/>
      <c r="AF73" s="90"/>
      <c r="AG73" s="88"/>
      <c r="AH73" s="88"/>
      <c r="AI73" s="252"/>
      <c r="AJ73" s="260"/>
      <c r="AK73" s="89"/>
    </row>
    <row r="74" spans="1:37" s="27" customFormat="1" ht="42" customHeight="1">
      <c r="A74" s="262"/>
      <c r="B74" s="271"/>
      <c r="C74" s="271"/>
      <c r="D74" s="258"/>
      <c r="E74" s="258"/>
      <c r="F74" s="258"/>
      <c r="G74" s="258"/>
      <c r="H74" s="250"/>
      <c r="I74" s="256"/>
      <c r="J74" s="251"/>
      <c r="K74" s="251"/>
      <c r="L74" s="250"/>
      <c r="M74" s="272"/>
      <c r="N74" s="250"/>
      <c r="O74" s="250"/>
      <c r="P74" s="250"/>
      <c r="Q74" s="250"/>
      <c r="R74" s="250"/>
      <c r="S74" s="250"/>
      <c r="T74" s="250"/>
      <c r="U74" s="124" t="s">
        <v>661</v>
      </c>
      <c r="V74" s="117"/>
      <c r="W74" s="117"/>
      <c r="X74" s="117" t="s">
        <v>6</v>
      </c>
      <c r="Y74" s="114">
        <v>6</v>
      </c>
      <c r="Z74" s="100"/>
      <c r="AA74" s="84"/>
      <c r="AB74" s="117">
        <v>0</v>
      </c>
      <c r="AC74" s="118">
        <f t="shared" ref="AC74:AC75" si="10">Y74*Z74*AB74/100</f>
        <v>0</v>
      </c>
      <c r="AD74" s="250"/>
      <c r="AE74" s="251"/>
      <c r="AF74" s="90"/>
      <c r="AG74" s="88"/>
      <c r="AH74" s="88"/>
      <c r="AI74" s="252"/>
      <c r="AJ74" s="260"/>
      <c r="AK74" s="89"/>
    </row>
    <row r="75" spans="1:37" s="27" customFormat="1" ht="57.75" customHeight="1">
      <c r="A75" s="262"/>
      <c r="B75" s="271"/>
      <c r="C75" s="271"/>
      <c r="D75" s="258"/>
      <c r="E75" s="258"/>
      <c r="F75" s="258"/>
      <c r="G75" s="258"/>
      <c r="H75" s="250"/>
      <c r="I75" s="256"/>
      <c r="J75" s="251"/>
      <c r="K75" s="251"/>
      <c r="L75" s="250"/>
      <c r="M75" s="272"/>
      <c r="N75" s="250"/>
      <c r="O75" s="250"/>
      <c r="P75" s="250"/>
      <c r="Q75" s="250"/>
      <c r="R75" s="250"/>
      <c r="S75" s="250"/>
      <c r="T75" s="250"/>
      <c r="U75" s="124" t="s">
        <v>506</v>
      </c>
      <c r="V75" s="117"/>
      <c r="W75" s="117"/>
      <c r="X75" s="117" t="s">
        <v>6</v>
      </c>
      <c r="Y75" s="114">
        <v>188</v>
      </c>
      <c r="Z75" s="100"/>
      <c r="AA75" s="84"/>
      <c r="AB75" s="117">
        <v>0</v>
      </c>
      <c r="AC75" s="118">
        <f t="shared" si="10"/>
        <v>0</v>
      </c>
      <c r="AD75" s="250"/>
      <c r="AE75" s="251"/>
      <c r="AF75" s="91"/>
      <c r="AG75" s="88"/>
      <c r="AH75" s="88"/>
      <c r="AI75" s="252"/>
      <c r="AJ75" s="261"/>
      <c r="AK75" s="89"/>
    </row>
    <row r="76" spans="1:37" s="18" customFormat="1" ht="24.75" customHeight="1">
      <c r="A76" s="131"/>
      <c r="B76" s="34" t="s">
        <v>616</v>
      </c>
      <c r="C76" s="125"/>
      <c r="D76" s="125"/>
      <c r="E76" s="125"/>
      <c r="F76" s="125"/>
      <c r="G76" s="125"/>
      <c r="H76" s="116"/>
      <c r="I76" s="115"/>
      <c r="J76" s="118"/>
      <c r="K76" s="118"/>
      <c r="L76" s="125"/>
      <c r="M76" s="93"/>
      <c r="N76" s="116"/>
      <c r="O76" s="116"/>
      <c r="P76" s="116"/>
      <c r="Q76" s="116"/>
      <c r="R76" s="116"/>
      <c r="S76" s="116"/>
      <c r="T76" s="116"/>
      <c r="U76" s="36"/>
      <c r="V76" s="33"/>
      <c r="W76" s="33"/>
      <c r="X76" s="125"/>
      <c r="Y76" s="116"/>
      <c r="Z76" s="94"/>
      <c r="AA76" s="95"/>
      <c r="AB76" s="96"/>
      <c r="AC76" s="116"/>
      <c r="AD76" s="116"/>
      <c r="AE76" s="116"/>
      <c r="AF76" s="31"/>
      <c r="AG76" s="97"/>
      <c r="AH76" s="97"/>
      <c r="AI76" s="97"/>
      <c r="AJ76" s="97"/>
      <c r="AK76" s="97"/>
    </row>
    <row r="77" spans="1:37" s="26" customFormat="1" ht="32.25" customHeight="1">
      <c r="A77" s="262">
        <v>12</v>
      </c>
      <c r="B77" s="271" t="s">
        <v>402</v>
      </c>
      <c r="C77" s="271" t="s">
        <v>412</v>
      </c>
      <c r="D77" s="258">
        <v>64</v>
      </c>
      <c r="E77" s="258">
        <v>603</v>
      </c>
      <c r="F77" s="258">
        <v>1688.8</v>
      </c>
      <c r="G77" s="258" t="s">
        <v>28</v>
      </c>
      <c r="H77" s="250">
        <v>1800</v>
      </c>
      <c r="I77" s="256">
        <f>F77-H77</f>
        <v>-111.20000000000005</v>
      </c>
      <c r="J77" s="250">
        <v>1800</v>
      </c>
      <c r="K77" s="250">
        <v>1800</v>
      </c>
      <c r="L77" s="250"/>
      <c r="M77" s="272">
        <f>J77/K77*100</f>
        <v>100</v>
      </c>
      <c r="N77" s="250">
        <v>12</v>
      </c>
      <c r="O77" s="250">
        <v>9</v>
      </c>
      <c r="P77" s="250">
        <v>80000</v>
      </c>
      <c r="Q77" s="250">
        <f>P77*J77</f>
        <v>144000000</v>
      </c>
      <c r="R77" s="250">
        <f>Q77*3</f>
        <v>432000000</v>
      </c>
      <c r="S77" s="250">
        <f>N77*O77*17000*30</f>
        <v>55080000</v>
      </c>
      <c r="T77" s="250">
        <f>SUM(Q77:S85)</f>
        <v>631080000</v>
      </c>
      <c r="U77" s="65" t="s">
        <v>641</v>
      </c>
      <c r="V77" s="126">
        <v>25</v>
      </c>
      <c r="W77" s="126">
        <f>H77/25</f>
        <v>72</v>
      </c>
      <c r="X77" s="117" t="s">
        <v>2</v>
      </c>
      <c r="Y77" s="118">
        <v>9</v>
      </c>
      <c r="Z77" s="62"/>
      <c r="AA77" s="84"/>
      <c r="AB77" s="68"/>
      <c r="AC77" s="118"/>
      <c r="AD77" s="250">
        <f>SUM(AC77:AC85)</f>
        <v>142650000</v>
      </c>
      <c r="AE77" s="251">
        <f>T77+AD77</f>
        <v>773730000</v>
      </c>
      <c r="AF77" s="31" t="s">
        <v>452</v>
      </c>
      <c r="AG77" s="98"/>
      <c r="AH77" s="99"/>
      <c r="AI77" s="99"/>
      <c r="AJ77" s="99"/>
      <c r="AK77" s="99"/>
    </row>
    <row r="78" spans="1:37" s="26" customFormat="1" ht="23.25" customHeight="1">
      <c r="A78" s="262"/>
      <c r="B78" s="271"/>
      <c r="C78" s="271"/>
      <c r="D78" s="258"/>
      <c r="E78" s="258"/>
      <c r="F78" s="258"/>
      <c r="G78" s="258"/>
      <c r="H78" s="250"/>
      <c r="I78" s="256"/>
      <c r="J78" s="250"/>
      <c r="K78" s="250"/>
      <c r="L78" s="250"/>
      <c r="M78" s="272"/>
      <c r="N78" s="250"/>
      <c r="O78" s="250"/>
      <c r="P78" s="250"/>
      <c r="Q78" s="250"/>
      <c r="R78" s="250"/>
      <c r="S78" s="250"/>
      <c r="T78" s="250"/>
      <c r="U78" s="67" t="s">
        <v>421</v>
      </c>
      <c r="V78" s="126"/>
      <c r="W78" s="126"/>
      <c r="X78" s="117" t="s">
        <v>2</v>
      </c>
      <c r="Y78" s="118">
        <v>9</v>
      </c>
      <c r="Z78" s="62">
        <v>3750000</v>
      </c>
      <c r="AA78" s="84"/>
      <c r="AB78" s="68">
        <v>1</v>
      </c>
      <c r="AC78" s="118">
        <f>Y78*Z78*AB78</f>
        <v>33750000</v>
      </c>
      <c r="AD78" s="250"/>
      <c r="AE78" s="251"/>
      <c r="AF78" s="31"/>
      <c r="AG78" s="98"/>
      <c r="AH78" s="99"/>
      <c r="AI78" s="99"/>
      <c r="AJ78" s="99"/>
      <c r="AK78" s="99"/>
    </row>
    <row r="79" spans="1:37" s="26" customFormat="1" ht="39" customHeight="1">
      <c r="A79" s="262"/>
      <c r="B79" s="271"/>
      <c r="C79" s="271"/>
      <c r="D79" s="258"/>
      <c r="E79" s="258"/>
      <c r="F79" s="258"/>
      <c r="G79" s="258"/>
      <c r="H79" s="250"/>
      <c r="I79" s="256"/>
      <c r="J79" s="250"/>
      <c r="K79" s="250"/>
      <c r="L79" s="250"/>
      <c r="M79" s="272"/>
      <c r="N79" s="250"/>
      <c r="O79" s="250"/>
      <c r="P79" s="250"/>
      <c r="Q79" s="250"/>
      <c r="R79" s="250"/>
      <c r="S79" s="250"/>
      <c r="T79" s="250"/>
      <c r="U79" s="65" t="s">
        <v>642</v>
      </c>
      <c r="V79" s="126"/>
      <c r="W79" s="126"/>
      <c r="X79" s="117" t="s">
        <v>2</v>
      </c>
      <c r="Y79" s="118">
        <v>27</v>
      </c>
      <c r="Z79" s="62"/>
      <c r="AA79" s="84"/>
      <c r="AB79" s="68"/>
      <c r="AC79" s="118"/>
      <c r="AD79" s="250"/>
      <c r="AE79" s="251"/>
      <c r="AF79" s="31"/>
      <c r="AG79" s="98"/>
      <c r="AH79" s="99"/>
      <c r="AI79" s="99"/>
      <c r="AJ79" s="99"/>
      <c r="AK79" s="99"/>
    </row>
    <row r="80" spans="1:37" s="26" customFormat="1" ht="23.25" customHeight="1">
      <c r="A80" s="262"/>
      <c r="B80" s="271"/>
      <c r="C80" s="271"/>
      <c r="D80" s="258"/>
      <c r="E80" s="258"/>
      <c r="F80" s="258"/>
      <c r="G80" s="258"/>
      <c r="H80" s="250"/>
      <c r="I80" s="256"/>
      <c r="J80" s="250"/>
      <c r="K80" s="250"/>
      <c r="L80" s="250"/>
      <c r="M80" s="272"/>
      <c r="N80" s="250"/>
      <c r="O80" s="250"/>
      <c r="P80" s="250"/>
      <c r="Q80" s="250"/>
      <c r="R80" s="250"/>
      <c r="S80" s="250"/>
      <c r="T80" s="250"/>
      <c r="U80" s="67" t="s">
        <v>421</v>
      </c>
      <c r="V80" s="126"/>
      <c r="W80" s="126"/>
      <c r="X80" s="117" t="s">
        <v>2</v>
      </c>
      <c r="Y80" s="118">
        <v>27</v>
      </c>
      <c r="Z80" s="62">
        <v>2700000</v>
      </c>
      <c r="AA80" s="84"/>
      <c r="AB80" s="68">
        <v>1</v>
      </c>
      <c r="AC80" s="118">
        <f>Y80*Z80*AB80</f>
        <v>72900000</v>
      </c>
      <c r="AD80" s="250"/>
      <c r="AE80" s="251"/>
      <c r="AF80" s="31"/>
      <c r="AG80" s="98"/>
      <c r="AH80" s="99"/>
      <c r="AI80" s="99"/>
      <c r="AJ80" s="99"/>
      <c r="AK80" s="99"/>
    </row>
    <row r="81" spans="1:37" s="26" customFormat="1" ht="36" customHeight="1">
      <c r="A81" s="262"/>
      <c r="B81" s="271"/>
      <c r="C81" s="271"/>
      <c r="D81" s="258"/>
      <c r="E81" s="258"/>
      <c r="F81" s="258"/>
      <c r="G81" s="258"/>
      <c r="H81" s="250"/>
      <c r="I81" s="256"/>
      <c r="J81" s="250"/>
      <c r="K81" s="250"/>
      <c r="L81" s="250"/>
      <c r="M81" s="272"/>
      <c r="N81" s="250"/>
      <c r="O81" s="250"/>
      <c r="P81" s="250"/>
      <c r="Q81" s="250"/>
      <c r="R81" s="250"/>
      <c r="S81" s="250"/>
      <c r="T81" s="250"/>
      <c r="U81" s="65" t="s">
        <v>480</v>
      </c>
      <c r="V81" s="126">
        <v>4</v>
      </c>
      <c r="W81" s="126">
        <f>H77/4</f>
        <v>450</v>
      </c>
      <c r="X81" s="117" t="s">
        <v>396</v>
      </c>
      <c r="Y81" s="118">
        <v>300</v>
      </c>
      <c r="Z81" s="62"/>
      <c r="AA81" s="84"/>
      <c r="AB81" s="68"/>
      <c r="AC81" s="118"/>
      <c r="AD81" s="250"/>
      <c r="AE81" s="251"/>
      <c r="AF81" s="31"/>
      <c r="AG81" s="98"/>
      <c r="AH81" s="99"/>
      <c r="AI81" s="99"/>
      <c r="AJ81" s="99"/>
      <c r="AK81" s="99"/>
    </row>
    <row r="82" spans="1:37" s="26" customFormat="1" ht="25.5" customHeight="1">
      <c r="A82" s="262"/>
      <c r="B82" s="271"/>
      <c r="C82" s="271"/>
      <c r="D82" s="258"/>
      <c r="E82" s="258"/>
      <c r="F82" s="258"/>
      <c r="G82" s="258"/>
      <c r="H82" s="250"/>
      <c r="I82" s="256"/>
      <c r="J82" s="250"/>
      <c r="K82" s="250"/>
      <c r="L82" s="250"/>
      <c r="M82" s="272"/>
      <c r="N82" s="250"/>
      <c r="O82" s="250"/>
      <c r="P82" s="250"/>
      <c r="Q82" s="250"/>
      <c r="R82" s="250"/>
      <c r="S82" s="250"/>
      <c r="T82" s="250"/>
      <c r="U82" s="67" t="s">
        <v>421</v>
      </c>
      <c r="V82" s="126"/>
      <c r="W82" s="126"/>
      <c r="X82" s="117" t="s">
        <v>2</v>
      </c>
      <c r="Y82" s="118">
        <v>300</v>
      </c>
      <c r="Z82" s="62">
        <v>200000</v>
      </c>
      <c r="AA82" s="84"/>
      <c r="AB82" s="68">
        <v>0.5</v>
      </c>
      <c r="AC82" s="118">
        <f>Y82*Z82*AB82</f>
        <v>30000000</v>
      </c>
      <c r="AD82" s="250"/>
      <c r="AE82" s="251"/>
      <c r="AF82" s="31"/>
      <c r="AG82" s="98"/>
      <c r="AH82" s="99"/>
      <c r="AI82" s="99"/>
      <c r="AJ82" s="99"/>
      <c r="AK82" s="99"/>
    </row>
    <row r="83" spans="1:37" s="26" customFormat="1" ht="36.75" customHeight="1">
      <c r="A83" s="262"/>
      <c r="B83" s="271"/>
      <c r="C83" s="271"/>
      <c r="D83" s="258"/>
      <c r="E83" s="258"/>
      <c r="F83" s="258"/>
      <c r="G83" s="258"/>
      <c r="H83" s="250"/>
      <c r="I83" s="256"/>
      <c r="J83" s="250"/>
      <c r="K83" s="250"/>
      <c r="L83" s="250"/>
      <c r="M83" s="272"/>
      <c r="N83" s="250"/>
      <c r="O83" s="250"/>
      <c r="P83" s="250"/>
      <c r="Q83" s="250"/>
      <c r="R83" s="250"/>
      <c r="S83" s="250"/>
      <c r="T83" s="250"/>
      <c r="U83" s="65" t="s">
        <v>481</v>
      </c>
      <c r="V83" s="126"/>
      <c r="W83" s="126"/>
      <c r="X83" s="117" t="s">
        <v>396</v>
      </c>
      <c r="Y83" s="118">
        <v>80</v>
      </c>
      <c r="Z83" s="62"/>
      <c r="AA83" s="84"/>
      <c r="AB83" s="68"/>
      <c r="AC83" s="118"/>
      <c r="AD83" s="250"/>
      <c r="AE83" s="251"/>
      <c r="AF83" s="31"/>
      <c r="AG83" s="98"/>
      <c r="AH83" s="99"/>
      <c r="AI83" s="99"/>
      <c r="AJ83" s="99"/>
      <c r="AK83" s="99"/>
    </row>
    <row r="84" spans="1:37" s="26" customFormat="1" ht="23.25" customHeight="1">
      <c r="A84" s="262"/>
      <c r="B84" s="271"/>
      <c r="C84" s="271"/>
      <c r="D84" s="258"/>
      <c r="E84" s="258"/>
      <c r="F84" s="258"/>
      <c r="G84" s="258"/>
      <c r="H84" s="250"/>
      <c r="I84" s="256"/>
      <c r="J84" s="250"/>
      <c r="K84" s="250"/>
      <c r="L84" s="250"/>
      <c r="M84" s="272"/>
      <c r="N84" s="250"/>
      <c r="O84" s="250"/>
      <c r="P84" s="250"/>
      <c r="Q84" s="250"/>
      <c r="R84" s="250"/>
      <c r="S84" s="250"/>
      <c r="T84" s="250"/>
      <c r="U84" s="67" t="s">
        <v>421</v>
      </c>
      <c r="V84" s="126"/>
      <c r="W84" s="126"/>
      <c r="X84" s="117" t="s">
        <v>2</v>
      </c>
      <c r="Y84" s="118">
        <v>80</v>
      </c>
      <c r="Z84" s="62">
        <v>150000</v>
      </c>
      <c r="AA84" s="84"/>
      <c r="AB84" s="68">
        <v>0.5</v>
      </c>
      <c r="AC84" s="118">
        <f>Y84*Z84*AB84</f>
        <v>6000000</v>
      </c>
      <c r="AD84" s="250"/>
      <c r="AE84" s="251"/>
      <c r="AF84" s="31"/>
      <c r="AG84" s="98"/>
      <c r="AH84" s="99"/>
      <c r="AI84" s="99"/>
      <c r="AJ84" s="99"/>
      <c r="AK84" s="99"/>
    </row>
    <row r="85" spans="1:37" s="26" customFormat="1" ht="57.75" customHeight="1">
      <c r="A85" s="262"/>
      <c r="B85" s="271"/>
      <c r="C85" s="271"/>
      <c r="D85" s="258"/>
      <c r="E85" s="258"/>
      <c r="F85" s="258"/>
      <c r="G85" s="258"/>
      <c r="H85" s="250"/>
      <c r="I85" s="256"/>
      <c r="J85" s="250"/>
      <c r="K85" s="250"/>
      <c r="L85" s="250"/>
      <c r="M85" s="272"/>
      <c r="N85" s="250"/>
      <c r="O85" s="250"/>
      <c r="P85" s="250"/>
      <c r="Q85" s="250"/>
      <c r="R85" s="250"/>
      <c r="S85" s="250"/>
      <c r="T85" s="250"/>
      <c r="U85" s="120" t="s">
        <v>470</v>
      </c>
      <c r="V85" s="126"/>
      <c r="W85" s="126"/>
      <c r="X85" s="117" t="s">
        <v>0</v>
      </c>
      <c r="Y85" s="114">
        <v>6</v>
      </c>
      <c r="Z85" s="100"/>
      <c r="AA85" s="84"/>
      <c r="AB85" s="117"/>
      <c r="AC85" s="118"/>
      <c r="AD85" s="250"/>
      <c r="AE85" s="251"/>
      <c r="AF85" s="31"/>
      <c r="AG85" s="98"/>
      <c r="AH85" s="99"/>
      <c r="AI85" s="99"/>
      <c r="AJ85" s="99"/>
      <c r="AK85" s="99"/>
    </row>
    <row r="86" spans="1:37" s="19" customFormat="1" ht="38.25" customHeight="1">
      <c r="A86" s="262">
        <v>13</v>
      </c>
      <c r="B86" s="271" t="s">
        <v>403</v>
      </c>
      <c r="C86" s="258" t="s">
        <v>39</v>
      </c>
      <c r="D86" s="258">
        <v>64</v>
      </c>
      <c r="E86" s="258">
        <v>489</v>
      </c>
      <c r="F86" s="258">
        <v>1528.1</v>
      </c>
      <c r="G86" s="258" t="s">
        <v>28</v>
      </c>
      <c r="H86" s="250">
        <v>1528</v>
      </c>
      <c r="I86" s="256">
        <f>F86-H86</f>
        <v>9.9999999999909051E-2</v>
      </c>
      <c r="J86" s="250">
        <f>H86+H97</f>
        <v>1888</v>
      </c>
      <c r="K86" s="250">
        <v>2160</v>
      </c>
      <c r="L86" s="250"/>
      <c r="M86" s="256">
        <f>J86/K86*100</f>
        <v>87.407407407407405</v>
      </c>
      <c r="N86" s="250">
        <v>12</v>
      </c>
      <c r="O86" s="250">
        <v>10</v>
      </c>
      <c r="P86" s="250">
        <v>80000</v>
      </c>
      <c r="Q86" s="250">
        <f>P86*J86</f>
        <v>151040000</v>
      </c>
      <c r="R86" s="250">
        <f>Q86*3</f>
        <v>453120000</v>
      </c>
      <c r="S86" s="250">
        <f>N86*O86*17000*30</f>
        <v>61200000</v>
      </c>
      <c r="T86" s="250">
        <f>SUM(Q86:S107)</f>
        <v>665360000</v>
      </c>
      <c r="U86" s="65" t="s">
        <v>420</v>
      </c>
      <c r="V86" s="126">
        <v>20</v>
      </c>
      <c r="W86" s="126">
        <f>H86/V86</f>
        <v>76.400000000000006</v>
      </c>
      <c r="X86" s="117" t="s">
        <v>2</v>
      </c>
      <c r="Y86" s="118">
        <v>20</v>
      </c>
      <c r="Z86" s="62"/>
      <c r="AA86" s="79"/>
      <c r="AB86" s="80"/>
      <c r="AC86" s="118"/>
      <c r="AD86" s="250">
        <f>SUM(AC86:AC96)</f>
        <v>163500000</v>
      </c>
      <c r="AE86" s="251">
        <f>T86+AD86+AD97</f>
        <v>876860000</v>
      </c>
      <c r="AF86" s="31" t="s">
        <v>428</v>
      </c>
      <c r="AG86" s="81"/>
      <c r="AH86" s="81"/>
      <c r="AI86" s="81"/>
      <c r="AJ86" s="81"/>
      <c r="AK86" s="81"/>
    </row>
    <row r="87" spans="1:37" s="19" customFormat="1" ht="22.5" customHeight="1">
      <c r="A87" s="262"/>
      <c r="B87" s="271"/>
      <c r="C87" s="258"/>
      <c r="D87" s="258"/>
      <c r="E87" s="258"/>
      <c r="F87" s="258"/>
      <c r="G87" s="258"/>
      <c r="H87" s="250"/>
      <c r="I87" s="256"/>
      <c r="J87" s="250"/>
      <c r="K87" s="250"/>
      <c r="L87" s="250"/>
      <c r="M87" s="256"/>
      <c r="N87" s="250"/>
      <c r="O87" s="250"/>
      <c r="P87" s="250"/>
      <c r="Q87" s="250"/>
      <c r="R87" s="250"/>
      <c r="S87" s="250"/>
      <c r="T87" s="250"/>
      <c r="U87" s="67" t="s">
        <v>421</v>
      </c>
      <c r="V87" s="126"/>
      <c r="W87" s="126"/>
      <c r="X87" s="117" t="s">
        <v>2</v>
      </c>
      <c r="Y87" s="118">
        <v>20</v>
      </c>
      <c r="Z87" s="62">
        <v>2500000</v>
      </c>
      <c r="AA87" s="79"/>
      <c r="AB87" s="80">
        <v>1</v>
      </c>
      <c r="AC87" s="118">
        <f t="shared" ref="AC87:AC89" si="11">Y87*Z87*AB87</f>
        <v>50000000</v>
      </c>
      <c r="AD87" s="250"/>
      <c r="AE87" s="251"/>
      <c r="AF87" s="31"/>
      <c r="AG87" s="81"/>
      <c r="AH87" s="81"/>
      <c r="AI87" s="81"/>
      <c r="AJ87" s="81"/>
      <c r="AK87" s="81"/>
    </row>
    <row r="88" spans="1:37" s="19" customFormat="1" ht="37.5" customHeight="1">
      <c r="A88" s="262"/>
      <c r="B88" s="271"/>
      <c r="C88" s="258"/>
      <c r="D88" s="258"/>
      <c r="E88" s="258"/>
      <c r="F88" s="258"/>
      <c r="G88" s="258"/>
      <c r="H88" s="250"/>
      <c r="I88" s="256"/>
      <c r="J88" s="250"/>
      <c r="K88" s="250"/>
      <c r="L88" s="250"/>
      <c r="M88" s="256"/>
      <c r="N88" s="250"/>
      <c r="O88" s="250"/>
      <c r="P88" s="250"/>
      <c r="Q88" s="250"/>
      <c r="R88" s="250"/>
      <c r="S88" s="250"/>
      <c r="T88" s="250"/>
      <c r="U88" s="65" t="s">
        <v>645</v>
      </c>
      <c r="V88" s="126"/>
      <c r="W88" s="126"/>
      <c r="X88" s="117" t="s">
        <v>2</v>
      </c>
      <c r="Y88" s="118">
        <v>55</v>
      </c>
      <c r="Z88" s="62"/>
      <c r="AA88" s="79"/>
      <c r="AB88" s="80"/>
      <c r="AC88" s="118"/>
      <c r="AD88" s="250"/>
      <c r="AE88" s="251"/>
      <c r="AF88" s="31"/>
      <c r="AG88" s="81"/>
      <c r="AH88" s="81"/>
      <c r="AI88" s="81"/>
      <c r="AJ88" s="81"/>
      <c r="AK88" s="81"/>
    </row>
    <row r="89" spans="1:37" s="19" customFormat="1" ht="22.5" customHeight="1">
      <c r="A89" s="262"/>
      <c r="B89" s="271"/>
      <c r="C89" s="258"/>
      <c r="D89" s="258"/>
      <c r="E89" s="258"/>
      <c r="F89" s="258"/>
      <c r="G89" s="258"/>
      <c r="H89" s="250"/>
      <c r="I89" s="256"/>
      <c r="J89" s="250"/>
      <c r="K89" s="250"/>
      <c r="L89" s="250"/>
      <c r="M89" s="256"/>
      <c r="N89" s="250"/>
      <c r="O89" s="250"/>
      <c r="P89" s="250"/>
      <c r="Q89" s="250"/>
      <c r="R89" s="250"/>
      <c r="S89" s="250"/>
      <c r="T89" s="250"/>
      <c r="U89" s="67" t="s">
        <v>421</v>
      </c>
      <c r="V89" s="126"/>
      <c r="W89" s="126"/>
      <c r="X89" s="117" t="s">
        <v>2</v>
      </c>
      <c r="Y89" s="118">
        <v>55</v>
      </c>
      <c r="Z89" s="62">
        <v>1800000</v>
      </c>
      <c r="AA89" s="79"/>
      <c r="AB89" s="80">
        <v>1</v>
      </c>
      <c r="AC89" s="118">
        <f t="shared" si="11"/>
        <v>99000000</v>
      </c>
      <c r="AD89" s="250"/>
      <c r="AE89" s="251"/>
      <c r="AF89" s="31"/>
      <c r="AG89" s="81"/>
      <c r="AH89" s="81"/>
      <c r="AI89" s="81"/>
      <c r="AJ89" s="81"/>
      <c r="AK89" s="81"/>
    </row>
    <row r="90" spans="1:37" s="19" customFormat="1" ht="39.75" customHeight="1">
      <c r="A90" s="262"/>
      <c r="B90" s="271"/>
      <c r="C90" s="258"/>
      <c r="D90" s="258"/>
      <c r="E90" s="258"/>
      <c r="F90" s="258"/>
      <c r="G90" s="258"/>
      <c r="H90" s="250"/>
      <c r="I90" s="256"/>
      <c r="J90" s="250"/>
      <c r="K90" s="250"/>
      <c r="L90" s="250"/>
      <c r="M90" s="256"/>
      <c r="N90" s="250"/>
      <c r="O90" s="250"/>
      <c r="P90" s="250"/>
      <c r="Q90" s="250"/>
      <c r="R90" s="250"/>
      <c r="S90" s="250"/>
      <c r="T90" s="250"/>
      <c r="U90" s="65" t="s">
        <v>522</v>
      </c>
      <c r="V90" s="126">
        <v>25</v>
      </c>
      <c r="W90" s="126">
        <f>H86/V90</f>
        <v>61.12</v>
      </c>
      <c r="X90" s="117" t="s">
        <v>2</v>
      </c>
      <c r="Y90" s="118">
        <v>20</v>
      </c>
      <c r="Z90" s="62"/>
      <c r="AA90" s="84"/>
      <c r="AB90" s="68"/>
      <c r="AC90" s="118"/>
      <c r="AD90" s="250"/>
      <c r="AE90" s="251"/>
      <c r="AF90" s="31"/>
      <c r="AG90" s="81"/>
      <c r="AH90" s="81"/>
      <c r="AI90" s="81"/>
      <c r="AJ90" s="81"/>
      <c r="AK90" s="81"/>
    </row>
    <row r="91" spans="1:37" s="19" customFormat="1" ht="22.5" customHeight="1">
      <c r="A91" s="262"/>
      <c r="B91" s="271"/>
      <c r="C91" s="258"/>
      <c r="D91" s="258"/>
      <c r="E91" s="258"/>
      <c r="F91" s="258"/>
      <c r="G91" s="258"/>
      <c r="H91" s="250"/>
      <c r="I91" s="256"/>
      <c r="J91" s="250"/>
      <c r="K91" s="250"/>
      <c r="L91" s="250"/>
      <c r="M91" s="256"/>
      <c r="N91" s="250"/>
      <c r="O91" s="250"/>
      <c r="P91" s="250"/>
      <c r="Q91" s="250"/>
      <c r="R91" s="250"/>
      <c r="S91" s="250"/>
      <c r="T91" s="250"/>
      <c r="U91" s="67" t="s">
        <v>421</v>
      </c>
      <c r="V91" s="126"/>
      <c r="W91" s="126"/>
      <c r="X91" s="117" t="s">
        <v>2</v>
      </c>
      <c r="Y91" s="118">
        <v>20</v>
      </c>
      <c r="Z91" s="62">
        <v>1000000</v>
      </c>
      <c r="AA91" s="79"/>
      <c r="AB91" s="80">
        <v>0.5</v>
      </c>
      <c r="AC91" s="118">
        <f t="shared" ref="AC91" si="12">Y91*Z91*AB91</f>
        <v>10000000</v>
      </c>
      <c r="AD91" s="250"/>
      <c r="AE91" s="251"/>
      <c r="AF91" s="31"/>
      <c r="AG91" s="81"/>
      <c r="AH91" s="81"/>
      <c r="AI91" s="81"/>
      <c r="AJ91" s="81"/>
      <c r="AK91" s="81"/>
    </row>
    <row r="92" spans="1:37" s="19" customFormat="1" ht="34.5" customHeight="1">
      <c r="A92" s="262"/>
      <c r="B92" s="271"/>
      <c r="C92" s="258"/>
      <c r="D92" s="258"/>
      <c r="E92" s="258"/>
      <c r="F92" s="258"/>
      <c r="G92" s="258"/>
      <c r="H92" s="250"/>
      <c r="I92" s="256"/>
      <c r="J92" s="250"/>
      <c r="K92" s="250"/>
      <c r="L92" s="250"/>
      <c r="M92" s="256"/>
      <c r="N92" s="250"/>
      <c r="O92" s="250"/>
      <c r="P92" s="250"/>
      <c r="Q92" s="250"/>
      <c r="R92" s="250"/>
      <c r="S92" s="250"/>
      <c r="T92" s="250"/>
      <c r="U92" s="65" t="s">
        <v>523</v>
      </c>
      <c r="V92" s="126">
        <v>4</v>
      </c>
      <c r="W92" s="126">
        <f>H86/V92</f>
        <v>382</v>
      </c>
      <c r="X92" s="117" t="s">
        <v>396</v>
      </c>
      <c r="Y92" s="118">
        <v>30</v>
      </c>
      <c r="Z92" s="62"/>
      <c r="AA92" s="84"/>
      <c r="AB92" s="68"/>
      <c r="AC92" s="118"/>
      <c r="AD92" s="250"/>
      <c r="AE92" s="251"/>
      <c r="AF92" s="31"/>
      <c r="AG92" s="81"/>
      <c r="AH92" s="81"/>
      <c r="AI92" s="81"/>
      <c r="AJ92" s="81"/>
      <c r="AK92" s="81"/>
    </row>
    <row r="93" spans="1:37" s="19" customFormat="1" ht="22.5" customHeight="1">
      <c r="A93" s="262"/>
      <c r="B93" s="271"/>
      <c r="C93" s="258"/>
      <c r="D93" s="258"/>
      <c r="E93" s="258"/>
      <c r="F93" s="258"/>
      <c r="G93" s="258"/>
      <c r="H93" s="250"/>
      <c r="I93" s="256"/>
      <c r="J93" s="250"/>
      <c r="K93" s="250"/>
      <c r="L93" s="250"/>
      <c r="M93" s="256"/>
      <c r="N93" s="250"/>
      <c r="O93" s="250"/>
      <c r="P93" s="250"/>
      <c r="Q93" s="250"/>
      <c r="R93" s="250"/>
      <c r="S93" s="250"/>
      <c r="T93" s="250"/>
      <c r="U93" s="67" t="s">
        <v>421</v>
      </c>
      <c r="V93" s="126"/>
      <c r="W93" s="126"/>
      <c r="X93" s="117" t="s">
        <v>396</v>
      </c>
      <c r="Y93" s="118">
        <v>30</v>
      </c>
      <c r="Z93" s="62">
        <v>200000</v>
      </c>
      <c r="AA93" s="84"/>
      <c r="AB93" s="68">
        <v>0.5</v>
      </c>
      <c r="AC93" s="118">
        <f>Y93*Z93*AB93</f>
        <v>3000000</v>
      </c>
      <c r="AD93" s="250"/>
      <c r="AE93" s="251"/>
      <c r="AF93" s="31"/>
      <c r="AG93" s="81"/>
      <c r="AH93" s="81"/>
      <c r="AI93" s="81"/>
      <c r="AJ93" s="81"/>
      <c r="AK93" s="81"/>
    </row>
    <row r="94" spans="1:37" s="19" customFormat="1" ht="30.75" customHeight="1">
      <c r="A94" s="262"/>
      <c r="B94" s="271"/>
      <c r="C94" s="258"/>
      <c r="D94" s="258"/>
      <c r="E94" s="258"/>
      <c r="F94" s="258"/>
      <c r="G94" s="258"/>
      <c r="H94" s="250"/>
      <c r="I94" s="256"/>
      <c r="J94" s="250"/>
      <c r="K94" s="250"/>
      <c r="L94" s="250"/>
      <c r="M94" s="256"/>
      <c r="N94" s="250"/>
      <c r="O94" s="250"/>
      <c r="P94" s="250"/>
      <c r="Q94" s="250"/>
      <c r="R94" s="250"/>
      <c r="S94" s="250"/>
      <c r="T94" s="250"/>
      <c r="U94" s="65" t="s">
        <v>524</v>
      </c>
      <c r="V94" s="126"/>
      <c r="W94" s="126"/>
      <c r="X94" s="117" t="s">
        <v>396</v>
      </c>
      <c r="Y94" s="118">
        <v>20</v>
      </c>
      <c r="Z94" s="62"/>
      <c r="AA94" s="84"/>
      <c r="AB94" s="68"/>
      <c r="AC94" s="118"/>
      <c r="AD94" s="250"/>
      <c r="AE94" s="251"/>
      <c r="AF94" s="31"/>
      <c r="AG94" s="81"/>
      <c r="AH94" s="81"/>
      <c r="AI94" s="81"/>
      <c r="AJ94" s="81"/>
      <c r="AK94" s="81"/>
    </row>
    <row r="95" spans="1:37" s="19" customFormat="1" ht="22.5" customHeight="1">
      <c r="A95" s="262"/>
      <c r="B95" s="271"/>
      <c r="C95" s="258"/>
      <c r="D95" s="258"/>
      <c r="E95" s="258"/>
      <c r="F95" s="258"/>
      <c r="G95" s="258"/>
      <c r="H95" s="250"/>
      <c r="I95" s="256"/>
      <c r="J95" s="250"/>
      <c r="K95" s="250"/>
      <c r="L95" s="250"/>
      <c r="M95" s="256"/>
      <c r="N95" s="250"/>
      <c r="O95" s="250"/>
      <c r="P95" s="250"/>
      <c r="Q95" s="250"/>
      <c r="R95" s="250"/>
      <c r="S95" s="250"/>
      <c r="T95" s="250"/>
      <c r="U95" s="67" t="s">
        <v>421</v>
      </c>
      <c r="V95" s="126"/>
      <c r="W95" s="126"/>
      <c r="X95" s="117" t="s">
        <v>396</v>
      </c>
      <c r="Y95" s="118">
        <v>20</v>
      </c>
      <c r="Z95" s="62">
        <v>150000</v>
      </c>
      <c r="AA95" s="84"/>
      <c r="AB95" s="68">
        <v>0.5</v>
      </c>
      <c r="AC95" s="118">
        <f>Y95*Z95*AB95</f>
        <v>1500000</v>
      </c>
      <c r="AD95" s="250"/>
      <c r="AE95" s="251"/>
      <c r="AF95" s="31"/>
      <c r="AG95" s="81"/>
      <c r="AH95" s="81"/>
      <c r="AI95" s="81"/>
      <c r="AJ95" s="81"/>
      <c r="AK95" s="81"/>
    </row>
    <row r="96" spans="1:37" s="19" customFormat="1" ht="22.5" customHeight="1">
      <c r="A96" s="262"/>
      <c r="B96" s="271"/>
      <c r="C96" s="258"/>
      <c r="D96" s="258"/>
      <c r="E96" s="258"/>
      <c r="F96" s="258"/>
      <c r="G96" s="258"/>
      <c r="H96" s="250"/>
      <c r="I96" s="256"/>
      <c r="J96" s="250"/>
      <c r="K96" s="250"/>
      <c r="L96" s="250"/>
      <c r="M96" s="256"/>
      <c r="N96" s="250"/>
      <c r="O96" s="250"/>
      <c r="P96" s="250"/>
      <c r="Q96" s="250"/>
      <c r="R96" s="250"/>
      <c r="S96" s="250"/>
      <c r="T96" s="250"/>
      <c r="U96" s="124" t="s">
        <v>525</v>
      </c>
      <c r="V96" s="126"/>
      <c r="W96" s="126"/>
      <c r="X96" s="117" t="s">
        <v>399</v>
      </c>
      <c r="Y96" s="114">
        <v>2</v>
      </c>
      <c r="Z96" s="62"/>
      <c r="AA96" s="79"/>
      <c r="AB96" s="80"/>
      <c r="AC96" s="118"/>
      <c r="AD96" s="250"/>
      <c r="AE96" s="251"/>
      <c r="AF96" s="31"/>
      <c r="AG96" s="81"/>
      <c r="AH96" s="81"/>
      <c r="AI96" s="81"/>
      <c r="AJ96" s="81"/>
      <c r="AK96" s="81"/>
    </row>
    <row r="97" spans="1:37" s="19" customFormat="1" ht="35.25" customHeight="1">
      <c r="A97" s="262"/>
      <c r="B97" s="271"/>
      <c r="C97" s="262"/>
      <c r="D97" s="262">
        <v>64</v>
      </c>
      <c r="E97" s="262">
        <v>602</v>
      </c>
      <c r="F97" s="262">
        <v>355</v>
      </c>
      <c r="G97" s="262" t="s">
        <v>28</v>
      </c>
      <c r="H97" s="264">
        <v>360</v>
      </c>
      <c r="I97" s="273">
        <f>F97-H97</f>
        <v>-5</v>
      </c>
      <c r="J97" s="250"/>
      <c r="K97" s="250"/>
      <c r="L97" s="250"/>
      <c r="M97" s="256"/>
      <c r="N97" s="250"/>
      <c r="O97" s="250"/>
      <c r="P97" s="250"/>
      <c r="Q97" s="250"/>
      <c r="R97" s="250"/>
      <c r="S97" s="250"/>
      <c r="T97" s="250"/>
      <c r="U97" s="65" t="s">
        <v>420</v>
      </c>
      <c r="V97" s="126">
        <v>20</v>
      </c>
      <c r="W97" s="126">
        <f>H97/V97</f>
        <v>18</v>
      </c>
      <c r="X97" s="117" t="s">
        <v>2</v>
      </c>
      <c r="Y97" s="118">
        <v>18</v>
      </c>
      <c r="Z97" s="62"/>
      <c r="AA97" s="79"/>
      <c r="AB97" s="80"/>
      <c r="AC97" s="118"/>
      <c r="AD97" s="250">
        <f>SUM(AC97:AC107)</f>
        <v>48000000</v>
      </c>
      <c r="AE97" s="251"/>
      <c r="AF97" s="31" t="s">
        <v>526</v>
      </c>
      <c r="AG97" s="81"/>
      <c r="AH97" s="81"/>
      <c r="AI97" s="81"/>
      <c r="AJ97" s="81"/>
      <c r="AK97" s="81"/>
    </row>
    <row r="98" spans="1:37" s="19" customFormat="1" ht="22.5" customHeight="1">
      <c r="A98" s="262"/>
      <c r="B98" s="271"/>
      <c r="C98" s="262"/>
      <c r="D98" s="262"/>
      <c r="E98" s="262"/>
      <c r="F98" s="262"/>
      <c r="G98" s="262"/>
      <c r="H98" s="264"/>
      <c r="I98" s="273"/>
      <c r="J98" s="250"/>
      <c r="K98" s="250"/>
      <c r="L98" s="250"/>
      <c r="M98" s="256"/>
      <c r="N98" s="250"/>
      <c r="O98" s="250"/>
      <c r="P98" s="250"/>
      <c r="Q98" s="250"/>
      <c r="R98" s="250"/>
      <c r="S98" s="250"/>
      <c r="T98" s="250"/>
      <c r="U98" s="67" t="s">
        <v>421</v>
      </c>
      <c r="V98" s="126"/>
      <c r="W98" s="126"/>
      <c r="X98" s="117" t="s">
        <v>2</v>
      </c>
      <c r="Y98" s="118">
        <v>18</v>
      </c>
      <c r="Z98" s="62">
        <v>2500000</v>
      </c>
      <c r="AA98" s="79"/>
      <c r="AB98" s="80">
        <v>1</v>
      </c>
      <c r="AC98" s="118">
        <f>Y98*Z98*AB98</f>
        <v>45000000</v>
      </c>
      <c r="AD98" s="250"/>
      <c r="AE98" s="251"/>
      <c r="AF98" s="31"/>
      <c r="AG98" s="81"/>
      <c r="AH98" s="81"/>
      <c r="AI98" s="81"/>
      <c r="AJ98" s="81"/>
      <c r="AK98" s="81"/>
    </row>
    <row r="99" spans="1:37" s="19" customFormat="1" ht="36.75" customHeight="1">
      <c r="A99" s="262"/>
      <c r="B99" s="271"/>
      <c r="C99" s="262"/>
      <c r="D99" s="262"/>
      <c r="E99" s="262"/>
      <c r="F99" s="262"/>
      <c r="G99" s="262"/>
      <c r="H99" s="264"/>
      <c r="I99" s="273"/>
      <c r="J99" s="250"/>
      <c r="K99" s="250"/>
      <c r="L99" s="250"/>
      <c r="M99" s="256"/>
      <c r="N99" s="250"/>
      <c r="O99" s="250"/>
      <c r="P99" s="250"/>
      <c r="Q99" s="250"/>
      <c r="R99" s="250"/>
      <c r="S99" s="250"/>
      <c r="T99" s="250"/>
      <c r="U99" s="65" t="s">
        <v>527</v>
      </c>
      <c r="V99" s="126">
        <v>25</v>
      </c>
      <c r="W99" s="126">
        <f>H97/V99</f>
        <v>14.4</v>
      </c>
      <c r="X99" s="117" t="s">
        <v>2</v>
      </c>
      <c r="Y99" s="118">
        <v>10</v>
      </c>
      <c r="Z99" s="62"/>
      <c r="AA99" s="84"/>
      <c r="AB99" s="68"/>
      <c r="AC99" s="118"/>
      <c r="AD99" s="250"/>
      <c r="AE99" s="251"/>
      <c r="AF99" s="31"/>
      <c r="AG99" s="81"/>
      <c r="AH99" s="81"/>
      <c r="AI99" s="81"/>
      <c r="AJ99" s="81"/>
      <c r="AK99" s="81"/>
    </row>
    <row r="100" spans="1:37" s="19" customFormat="1" ht="23.25" customHeight="1">
      <c r="A100" s="262"/>
      <c r="B100" s="271"/>
      <c r="C100" s="262"/>
      <c r="D100" s="262"/>
      <c r="E100" s="262"/>
      <c r="F100" s="262"/>
      <c r="G100" s="262"/>
      <c r="H100" s="264"/>
      <c r="I100" s="273"/>
      <c r="J100" s="250"/>
      <c r="K100" s="250"/>
      <c r="L100" s="250"/>
      <c r="M100" s="256"/>
      <c r="N100" s="250"/>
      <c r="O100" s="250"/>
      <c r="P100" s="250"/>
      <c r="Q100" s="250"/>
      <c r="R100" s="250"/>
      <c r="S100" s="250"/>
      <c r="T100" s="250"/>
      <c r="U100" s="67" t="s">
        <v>421</v>
      </c>
      <c r="V100" s="126"/>
      <c r="W100" s="126"/>
      <c r="X100" s="117" t="s">
        <v>2</v>
      </c>
      <c r="Y100" s="118">
        <v>10</v>
      </c>
      <c r="Z100" s="62">
        <v>1000000</v>
      </c>
      <c r="AA100" s="79"/>
      <c r="AB100" s="80">
        <v>0.3</v>
      </c>
      <c r="AC100" s="118">
        <f t="shared" ref="AC100" si="13">Y100*Z100*AB100</f>
        <v>3000000</v>
      </c>
      <c r="AD100" s="250"/>
      <c r="AE100" s="251"/>
      <c r="AF100" s="31"/>
      <c r="AG100" s="81"/>
      <c r="AH100" s="81"/>
      <c r="AI100" s="81"/>
      <c r="AJ100" s="81"/>
      <c r="AK100" s="81"/>
    </row>
    <row r="101" spans="1:37" s="19" customFormat="1" ht="35.25" customHeight="1">
      <c r="A101" s="262"/>
      <c r="B101" s="271"/>
      <c r="C101" s="262"/>
      <c r="D101" s="262"/>
      <c r="E101" s="262"/>
      <c r="F101" s="262"/>
      <c r="G101" s="262"/>
      <c r="H101" s="264"/>
      <c r="I101" s="273"/>
      <c r="J101" s="250"/>
      <c r="K101" s="250"/>
      <c r="L101" s="250"/>
      <c r="M101" s="256"/>
      <c r="N101" s="250"/>
      <c r="O101" s="250"/>
      <c r="P101" s="250"/>
      <c r="Q101" s="250"/>
      <c r="R101" s="250"/>
      <c r="S101" s="250"/>
      <c r="T101" s="250"/>
      <c r="U101" s="65" t="s">
        <v>528</v>
      </c>
      <c r="V101" s="126"/>
      <c r="W101" s="126"/>
      <c r="X101" s="117" t="s">
        <v>2</v>
      </c>
      <c r="Y101" s="118">
        <v>10</v>
      </c>
      <c r="Z101" s="62"/>
      <c r="AA101" s="79"/>
      <c r="AB101" s="80"/>
      <c r="AC101" s="118"/>
      <c r="AD101" s="250"/>
      <c r="AE101" s="251"/>
      <c r="AF101" s="31"/>
      <c r="AG101" s="81"/>
      <c r="AH101" s="81"/>
      <c r="AI101" s="81"/>
      <c r="AJ101" s="81"/>
      <c r="AK101" s="81"/>
    </row>
    <row r="102" spans="1:37" s="19" customFormat="1" ht="23.25" customHeight="1">
      <c r="A102" s="262"/>
      <c r="B102" s="271"/>
      <c r="C102" s="262"/>
      <c r="D102" s="262"/>
      <c r="E102" s="262"/>
      <c r="F102" s="262"/>
      <c r="G102" s="262"/>
      <c r="H102" s="264"/>
      <c r="I102" s="273"/>
      <c r="J102" s="250"/>
      <c r="K102" s="250"/>
      <c r="L102" s="250"/>
      <c r="M102" s="256"/>
      <c r="N102" s="250"/>
      <c r="O102" s="250"/>
      <c r="P102" s="250"/>
      <c r="Q102" s="250"/>
      <c r="R102" s="250"/>
      <c r="S102" s="250"/>
      <c r="T102" s="250"/>
      <c r="U102" s="67" t="s">
        <v>486</v>
      </c>
      <c r="V102" s="126"/>
      <c r="W102" s="126"/>
      <c r="X102" s="117" t="s">
        <v>2</v>
      </c>
      <c r="Y102" s="118">
        <v>10</v>
      </c>
      <c r="Z102" s="62">
        <v>500000</v>
      </c>
      <c r="AA102" s="79"/>
      <c r="AB102" s="80">
        <v>0</v>
      </c>
      <c r="AC102" s="118">
        <f t="shared" ref="AC102" si="14">Y102*Z102*AB102</f>
        <v>0</v>
      </c>
      <c r="AD102" s="250"/>
      <c r="AE102" s="251"/>
      <c r="AF102" s="31"/>
      <c r="AG102" s="81"/>
      <c r="AH102" s="81"/>
      <c r="AI102" s="81"/>
      <c r="AJ102" s="81"/>
      <c r="AK102" s="81"/>
    </row>
    <row r="103" spans="1:37" s="19" customFormat="1" ht="37.5" customHeight="1">
      <c r="A103" s="262"/>
      <c r="B103" s="271"/>
      <c r="C103" s="262"/>
      <c r="D103" s="262"/>
      <c r="E103" s="262"/>
      <c r="F103" s="262"/>
      <c r="G103" s="262"/>
      <c r="H103" s="264"/>
      <c r="I103" s="273"/>
      <c r="J103" s="250"/>
      <c r="K103" s="250"/>
      <c r="L103" s="250"/>
      <c r="M103" s="256"/>
      <c r="N103" s="250"/>
      <c r="O103" s="250"/>
      <c r="P103" s="250"/>
      <c r="Q103" s="250"/>
      <c r="R103" s="250"/>
      <c r="S103" s="250"/>
      <c r="T103" s="250"/>
      <c r="U103" s="65" t="s">
        <v>529</v>
      </c>
      <c r="V103" s="126"/>
      <c r="W103" s="126"/>
      <c r="X103" s="117" t="s">
        <v>2</v>
      </c>
      <c r="Y103" s="118">
        <v>10</v>
      </c>
      <c r="Z103" s="62"/>
      <c r="AA103" s="84"/>
      <c r="AB103" s="68"/>
      <c r="AC103" s="118"/>
      <c r="AD103" s="250"/>
      <c r="AE103" s="251"/>
      <c r="AF103" s="31"/>
      <c r="AG103" s="81"/>
      <c r="AH103" s="81"/>
      <c r="AI103" s="81"/>
      <c r="AJ103" s="81"/>
      <c r="AK103" s="81"/>
    </row>
    <row r="104" spans="1:37" s="19" customFormat="1" ht="23.25" customHeight="1">
      <c r="A104" s="262"/>
      <c r="B104" s="271"/>
      <c r="C104" s="262"/>
      <c r="D104" s="262"/>
      <c r="E104" s="262"/>
      <c r="F104" s="262"/>
      <c r="G104" s="262"/>
      <c r="H104" s="264"/>
      <c r="I104" s="273"/>
      <c r="J104" s="250"/>
      <c r="K104" s="250"/>
      <c r="L104" s="250"/>
      <c r="M104" s="256"/>
      <c r="N104" s="250"/>
      <c r="O104" s="250"/>
      <c r="P104" s="250"/>
      <c r="Q104" s="250"/>
      <c r="R104" s="250"/>
      <c r="S104" s="250"/>
      <c r="T104" s="250"/>
      <c r="U104" s="67" t="s">
        <v>486</v>
      </c>
      <c r="V104" s="126"/>
      <c r="W104" s="126"/>
      <c r="X104" s="117" t="s">
        <v>2</v>
      </c>
      <c r="Y104" s="118">
        <v>100</v>
      </c>
      <c r="Z104" s="62">
        <v>190000</v>
      </c>
      <c r="AA104" s="79"/>
      <c r="AB104" s="80">
        <v>0</v>
      </c>
      <c r="AC104" s="118">
        <f t="shared" ref="AC104" si="15">Y104*Z104*AB104</f>
        <v>0</v>
      </c>
      <c r="AD104" s="250"/>
      <c r="AE104" s="251"/>
      <c r="AF104" s="31"/>
      <c r="AG104" s="81"/>
      <c r="AH104" s="81"/>
      <c r="AI104" s="81"/>
      <c r="AJ104" s="81"/>
      <c r="AK104" s="81"/>
    </row>
    <row r="105" spans="1:37" s="19" customFormat="1" ht="53.25" customHeight="1">
      <c r="A105" s="262"/>
      <c r="B105" s="271"/>
      <c r="C105" s="262"/>
      <c r="D105" s="262"/>
      <c r="E105" s="262"/>
      <c r="F105" s="262"/>
      <c r="G105" s="262"/>
      <c r="H105" s="264"/>
      <c r="I105" s="273"/>
      <c r="J105" s="250"/>
      <c r="K105" s="250"/>
      <c r="L105" s="250"/>
      <c r="M105" s="256"/>
      <c r="N105" s="250"/>
      <c r="O105" s="250"/>
      <c r="P105" s="250"/>
      <c r="Q105" s="250"/>
      <c r="R105" s="250"/>
      <c r="S105" s="250"/>
      <c r="T105" s="250"/>
      <c r="U105" s="120" t="s">
        <v>470</v>
      </c>
      <c r="V105" s="126"/>
      <c r="W105" s="126"/>
      <c r="X105" s="117" t="s">
        <v>6</v>
      </c>
      <c r="Y105" s="114">
        <v>181.5</v>
      </c>
      <c r="Z105" s="62"/>
      <c r="AA105" s="79"/>
      <c r="AB105" s="80"/>
      <c r="AC105" s="118"/>
      <c r="AD105" s="250"/>
      <c r="AE105" s="251"/>
      <c r="AF105" s="31"/>
      <c r="AG105" s="81"/>
      <c r="AH105" s="81"/>
      <c r="AI105" s="81"/>
      <c r="AJ105" s="81"/>
      <c r="AK105" s="81"/>
    </row>
    <row r="106" spans="1:37" s="19" customFormat="1" ht="48" customHeight="1">
      <c r="A106" s="262"/>
      <c r="B106" s="271"/>
      <c r="C106" s="262"/>
      <c r="D106" s="262"/>
      <c r="E106" s="262"/>
      <c r="F106" s="262"/>
      <c r="G106" s="262"/>
      <c r="H106" s="264"/>
      <c r="I106" s="273"/>
      <c r="J106" s="250"/>
      <c r="K106" s="250"/>
      <c r="L106" s="250"/>
      <c r="M106" s="256"/>
      <c r="N106" s="250"/>
      <c r="O106" s="250"/>
      <c r="P106" s="250"/>
      <c r="Q106" s="250"/>
      <c r="R106" s="250"/>
      <c r="S106" s="250"/>
      <c r="T106" s="250"/>
      <c r="U106" s="124" t="s">
        <v>508</v>
      </c>
      <c r="V106" s="126"/>
      <c r="W106" s="126"/>
      <c r="X106" s="117" t="s">
        <v>6</v>
      </c>
      <c r="Y106" s="114">
        <v>6</v>
      </c>
      <c r="Z106" s="62"/>
      <c r="AA106" s="79"/>
      <c r="AB106" s="80"/>
      <c r="AC106" s="118"/>
      <c r="AD106" s="250"/>
      <c r="AE106" s="251"/>
      <c r="AF106" s="31"/>
      <c r="AG106" s="81"/>
      <c r="AH106" s="81"/>
      <c r="AI106" s="81"/>
      <c r="AJ106" s="81"/>
      <c r="AK106" s="81"/>
    </row>
    <row r="107" spans="1:37" s="19" customFormat="1" ht="23.25" customHeight="1">
      <c r="A107" s="262"/>
      <c r="B107" s="271"/>
      <c r="C107" s="262"/>
      <c r="D107" s="262"/>
      <c r="E107" s="262"/>
      <c r="F107" s="262"/>
      <c r="G107" s="262"/>
      <c r="H107" s="264"/>
      <c r="I107" s="273"/>
      <c r="J107" s="250"/>
      <c r="K107" s="250"/>
      <c r="L107" s="250"/>
      <c r="M107" s="256"/>
      <c r="N107" s="250"/>
      <c r="O107" s="250"/>
      <c r="P107" s="250"/>
      <c r="Q107" s="250"/>
      <c r="R107" s="250"/>
      <c r="S107" s="250"/>
      <c r="T107" s="250"/>
      <c r="U107" s="124" t="s">
        <v>484</v>
      </c>
      <c r="V107" s="126"/>
      <c r="W107" s="126"/>
      <c r="X107" s="117" t="s">
        <v>399</v>
      </c>
      <c r="Y107" s="114">
        <v>1</v>
      </c>
      <c r="Z107" s="62"/>
      <c r="AA107" s="79"/>
      <c r="AB107" s="80"/>
      <c r="AC107" s="118"/>
      <c r="AD107" s="250"/>
      <c r="AE107" s="251"/>
      <c r="AF107" s="31"/>
      <c r="AG107" s="81"/>
      <c r="AH107" s="81"/>
      <c r="AI107" s="81"/>
      <c r="AJ107" s="81"/>
      <c r="AK107" s="81"/>
    </row>
    <row r="108" spans="1:37" s="20" customFormat="1" ht="30.75" customHeight="1">
      <c r="A108" s="262">
        <v>14</v>
      </c>
      <c r="B108" s="271" t="s">
        <v>531</v>
      </c>
      <c r="C108" s="271" t="s">
        <v>412</v>
      </c>
      <c r="D108" s="258">
        <v>64</v>
      </c>
      <c r="E108" s="258">
        <v>598</v>
      </c>
      <c r="F108" s="258">
        <v>356.8</v>
      </c>
      <c r="G108" s="258" t="s">
        <v>28</v>
      </c>
      <c r="H108" s="250">
        <v>360</v>
      </c>
      <c r="I108" s="256">
        <f>F108-H108</f>
        <v>-3.1999999999999886</v>
      </c>
      <c r="J108" s="250">
        <v>360</v>
      </c>
      <c r="K108" s="250">
        <v>360</v>
      </c>
      <c r="L108" s="250">
        <v>450</v>
      </c>
      <c r="M108" s="272">
        <f>J108/K108*100</f>
        <v>100</v>
      </c>
      <c r="N108" s="250">
        <v>12</v>
      </c>
      <c r="O108" s="250">
        <v>2</v>
      </c>
      <c r="P108" s="250">
        <v>80000</v>
      </c>
      <c r="Q108" s="250">
        <f>P108*J108</f>
        <v>28800000</v>
      </c>
      <c r="R108" s="250">
        <f>Q108*3</f>
        <v>86400000</v>
      </c>
      <c r="S108" s="250">
        <f>N108*O108*17000*30</f>
        <v>12240000</v>
      </c>
      <c r="T108" s="250">
        <f>SUM(Q108:S118)</f>
        <v>127440000</v>
      </c>
      <c r="U108" s="65" t="s">
        <v>457</v>
      </c>
      <c r="V108" s="126">
        <v>25</v>
      </c>
      <c r="W108" s="126">
        <f>(J108-Y116)/V108</f>
        <v>14.175999999999998</v>
      </c>
      <c r="X108" s="117" t="s">
        <v>2</v>
      </c>
      <c r="Y108" s="118">
        <v>10</v>
      </c>
      <c r="Z108" s="62"/>
      <c r="AA108" s="79"/>
      <c r="AB108" s="80"/>
      <c r="AC108" s="118"/>
      <c r="AD108" s="250">
        <f>SUM(AC108:AC118)</f>
        <v>50050000</v>
      </c>
      <c r="AE108" s="251">
        <f>T108+AD108</f>
        <v>177490000</v>
      </c>
      <c r="AF108" s="31" t="s">
        <v>452</v>
      </c>
      <c r="AG108" s="29"/>
      <c r="AH108" s="29"/>
      <c r="AI108" s="29"/>
      <c r="AJ108" s="29"/>
      <c r="AK108" s="29"/>
    </row>
    <row r="109" spans="1:37" s="20" customFormat="1" ht="22.5" customHeight="1">
      <c r="A109" s="262"/>
      <c r="B109" s="271"/>
      <c r="C109" s="271"/>
      <c r="D109" s="258"/>
      <c r="E109" s="258"/>
      <c r="F109" s="258"/>
      <c r="G109" s="258"/>
      <c r="H109" s="250"/>
      <c r="I109" s="256"/>
      <c r="J109" s="250"/>
      <c r="K109" s="250"/>
      <c r="L109" s="250"/>
      <c r="M109" s="272"/>
      <c r="N109" s="250"/>
      <c r="O109" s="250"/>
      <c r="P109" s="250"/>
      <c r="Q109" s="250"/>
      <c r="R109" s="250"/>
      <c r="S109" s="250"/>
      <c r="T109" s="250"/>
      <c r="U109" s="67" t="s">
        <v>421</v>
      </c>
      <c r="V109" s="126"/>
      <c r="W109" s="126"/>
      <c r="X109" s="117" t="s">
        <v>2</v>
      </c>
      <c r="Y109" s="118">
        <v>10</v>
      </c>
      <c r="Z109" s="62">
        <v>4500000</v>
      </c>
      <c r="AA109" s="79"/>
      <c r="AB109" s="80">
        <v>1</v>
      </c>
      <c r="AC109" s="118">
        <f>Y109*Z109*AB109</f>
        <v>45000000</v>
      </c>
      <c r="AD109" s="250"/>
      <c r="AE109" s="251"/>
      <c r="AF109" s="31"/>
      <c r="AG109" s="29"/>
      <c r="AH109" s="29"/>
      <c r="AI109" s="29"/>
      <c r="AJ109" s="29"/>
      <c r="AK109" s="29"/>
    </row>
    <row r="110" spans="1:37" s="20" customFormat="1" ht="31.5">
      <c r="A110" s="262"/>
      <c r="B110" s="271"/>
      <c r="C110" s="271"/>
      <c r="D110" s="258"/>
      <c r="E110" s="258"/>
      <c r="F110" s="258"/>
      <c r="G110" s="258"/>
      <c r="H110" s="250"/>
      <c r="I110" s="256"/>
      <c r="J110" s="250"/>
      <c r="K110" s="250"/>
      <c r="L110" s="250"/>
      <c r="M110" s="272"/>
      <c r="N110" s="250"/>
      <c r="O110" s="250"/>
      <c r="P110" s="250"/>
      <c r="Q110" s="250"/>
      <c r="R110" s="250"/>
      <c r="S110" s="250"/>
      <c r="T110" s="250"/>
      <c r="U110" s="65" t="s">
        <v>527</v>
      </c>
      <c r="V110" s="126">
        <v>25</v>
      </c>
      <c r="W110" s="126">
        <f>(J108-Y116)/V110</f>
        <v>14.175999999999998</v>
      </c>
      <c r="X110" s="117" t="s">
        <v>2</v>
      </c>
      <c r="Y110" s="118">
        <v>8</v>
      </c>
      <c r="Z110" s="62"/>
      <c r="AA110" s="84"/>
      <c r="AB110" s="68"/>
      <c r="AC110" s="118"/>
      <c r="AD110" s="250"/>
      <c r="AE110" s="251"/>
      <c r="AF110" s="31"/>
      <c r="AG110" s="29"/>
      <c r="AH110" s="29"/>
      <c r="AI110" s="29"/>
      <c r="AJ110" s="29"/>
      <c r="AK110" s="29"/>
    </row>
    <row r="111" spans="1:37" s="20" customFormat="1" ht="21.75" customHeight="1">
      <c r="A111" s="262"/>
      <c r="B111" s="271"/>
      <c r="C111" s="271"/>
      <c r="D111" s="258"/>
      <c r="E111" s="258"/>
      <c r="F111" s="258"/>
      <c r="G111" s="258"/>
      <c r="H111" s="250"/>
      <c r="I111" s="256"/>
      <c r="J111" s="250"/>
      <c r="K111" s="250"/>
      <c r="L111" s="250"/>
      <c r="M111" s="272"/>
      <c r="N111" s="250"/>
      <c r="O111" s="250"/>
      <c r="P111" s="250"/>
      <c r="Q111" s="250"/>
      <c r="R111" s="250"/>
      <c r="S111" s="250"/>
      <c r="T111" s="250"/>
      <c r="U111" s="67" t="s">
        <v>421</v>
      </c>
      <c r="V111" s="126"/>
      <c r="W111" s="126"/>
      <c r="X111" s="117" t="s">
        <v>2</v>
      </c>
      <c r="Y111" s="118">
        <v>8</v>
      </c>
      <c r="Z111" s="62">
        <v>1000000</v>
      </c>
      <c r="AA111" s="79"/>
      <c r="AB111" s="80">
        <v>0.5</v>
      </c>
      <c r="AC111" s="118">
        <f t="shared" ref="AC111" si="16">Y111*Z111*AB111</f>
        <v>4000000</v>
      </c>
      <c r="AD111" s="250"/>
      <c r="AE111" s="251"/>
      <c r="AF111" s="31"/>
      <c r="AG111" s="29"/>
      <c r="AH111" s="29"/>
      <c r="AI111" s="29"/>
      <c r="AJ111" s="29"/>
      <c r="AK111" s="29"/>
    </row>
    <row r="112" spans="1:37" s="20" customFormat="1" ht="35.25" customHeight="1">
      <c r="A112" s="262"/>
      <c r="B112" s="271"/>
      <c r="C112" s="271"/>
      <c r="D112" s="258"/>
      <c r="E112" s="258"/>
      <c r="F112" s="258"/>
      <c r="G112" s="258"/>
      <c r="H112" s="250"/>
      <c r="I112" s="256"/>
      <c r="J112" s="250"/>
      <c r="K112" s="250"/>
      <c r="L112" s="250"/>
      <c r="M112" s="272"/>
      <c r="N112" s="250"/>
      <c r="O112" s="250"/>
      <c r="P112" s="250"/>
      <c r="Q112" s="250"/>
      <c r="R112" s="250"/>
      <c r="S112" s="250"/>
      <c r="T112" s="250"/>
      <c r="U112" s="65" t="s">
        <v>533</v>
      </c>
      <c r="V112" s="126">
        <v>10</v>
      </c>
      <c r="W112" s="126">
        <f>(J108-Y116)/V112</f>
        <v>35.44</v>
      </c>
      <c r="X112" s="117" t="s">
        <v>2</v>
      </c>
      <c r="Y112" s="118">
        <v>2</v>
      </c>
      <c r="Z112" s="62"/>
      <c r="AA112" s="79"/>
      <c r="AB112" s="80"/>
      <c r="AC112" s="118"/>
      <c r="AD112" s="250"/>
      <c r="AE112" s="251"/>
      <c r="AF112" s="31"/>
      <c r="AG112" s="29"/>
      <c r="AH112" s="29"/>
      <c r="AI112" s="29"/>
      <c r="AJ112" s="29"/>
      <c r="AK112" s="29"/>
    </row>
    <row r="113" spans="1:37" s="20" customFormat="1" ht="23.25" customHeight="1">
      <c r="A113" s="262"/>
      <c r="B113" s="271"/>
      <c r="C113" s="271"/>
      <c r="D113" s="258"/>
      <c r="E113" s="258"/>
      <c r="F113" s="258"/>
      <c r="G113" s="258"/>
      <c r="H113" s="250"/>
      <c r="I113" s="256"/>
      <c r="J113" s="250"/>
      <c r="K113" s="250"/>
      <c r="L113" s="250"/>
      <c r="M113" s="272"/>
      <c r="N113" s="250"/>
      <c r="O113" s="250"/>
      <c r="P113" s="250"/>
      <c r="Q113" s="250"/>
      <c r="R113" s="250"/>
      <c r="S113" s="250"/>
      <c r="T113" s="250"/>
      <c r="U113" s="67" t="s">
        <v>421</v>
      </c>
      <c r="V113" s="126"/>
      <c r="W113" s="126"/>
      <c r="X113" s="117" t="s">
        <v>2</v>
      </c>
      <c r="Y113" s="118">
        <v>2</v>
      </c>
      <c r="Z113" s="62">
        <v>200000</v>
      </c>
      <c r="AA113" s="79"/>
      <c r="AB113" s="80">
        <v>0.5</v>
      </c>
      <c r="AC113" s="118">
        <f t="shared" ref="AC113" si="17">Y113*Z113*AB113</f>
        <v>200000</v>
      </c>
      <c r="AD113" s="250"/>
      <c r="AE113" s="251"/>
      <c r="AF113" s="31"/>
      <c r="AG113" s="29"/>
      <c r="AH113" s="29"/>
      <c r="AI113" s="29"/>
      <c r="AJ113" s="29"/>
      <c r="AK113" s="29"/>
    </row>
    <row r="114" spans="1:37" s="20" customFormat="1" ht="31.5">
      <c r="A114" s="262"/>
      <c r="B114" s="271"/>
      <c r="C114" s="271"/>
      <c r="D114" s="258"/>
      <c r="E114" s="258"/>
      <c r="F114" s="258"/>
      <c r="G114" s="258"/>
      <c r="H114" s="250"/>
      <c r="I114" s="256"/>
      <c r="J114" s="250"/>
      <c r="K114" s="250"/>
      <c r="L114" s="250"/>
      <c r="M114" s="272"/>
      <c r="N114" s="250"/>
      <c r="O114" s="250"/>
      <c r="P114" s="250"/>
      <c r="Q114" s="250"/>
      <c r="R114" s="250"/>
      <c r="S114" s="250"/>
      <c r="T114" s="250"/>
      <c r="U114" s="65" t="s">
        <v>534</v>
      </c>
      <c r="V114" s="126">
        <v>28.57</v>
      </c>
      <c r="W114" s="126">
        <f>(J108-Y116)/V114</f>
        <v>12.404620231011549</v>
      </c>
      <c r="X114" s="117" t="s">
        <v>2</v>
      </c>
      <c r="Y114" s="118">
        <v>2</v>
      </c>
      <c r="Z114" s="62"/>
      <c r="AA114" s="84"/>
      <c r="AB114" s="68"/>
      <c r="AC114" s="118"/>
      <c r="AD114" s="250"/>
      <c r="AE114" s="251"/>
      <c r="AF114" s="31"/>
      <c r="AG114" s="29"/>
      <c r="AH114" s="29"/>
      <c r="AI114" s="29"/>
      <c r="AJ114" s="29"/>
      <c r="AK114" s="29"/>
    </row>
    <row r="115" spans="1:37" s="20" customFormat="1" ht="21" customHeight="1">
      <c r="A115" s="262"/>
      <c r="B115" s="271"/>
      <c r="C115" s="271"/>
      <c r="D115" s="258"/>
      <c r="E115" s="258"/>
      <c r="F115" s="258"/>
      <c r="G115" s="258"/>
      <c r="H115" s="250"/>
      <c r="I115" s="256"/>
      <c r="J115" s="250"/>
      <c r="K115" s="250"/>
      <c r="L115" s="250"/>
      <c r="M115" s="272"/>
      <c r="N115" s="250"/>
      <c r="O115" s="250"/>
      <c r="P115" s="250"/>
      <c r="Q115" s="250"/>
      <c r="R115" s="250"/>
      <c r="S115" s="250"/>
      <c r="T115" s="250"/>
      <c r="U115" s="67" t="s">
        <v>421</v>
      </c>
      <c r="V115" s="126"/>
      <c r="W115" s="126"/>
      <c r="X115" s="117" t="s">
        <v>2</v>
      </c>
      <c r="Y115" s="118">
        <v>2</v>
      </c>
      <c r="Z115" s="62">
        <v>850000</v>
      </c>
      <c r="AA115" s="79"/>
      <c r="AB115" s="80">
        <v>0.5</v>
      </c>
      <c r="AC115" s="118">
        <f t="shared" ref="AC115" si="18">Y115*Z115*AB115</f>
        <v>850000</v>
      </c>
      <c r="AD115" s="250"/>
      <c r="AE115" s="251"/>
      <c r="AF115" s="31"/>
      <c r="AG115" s="29"/>
      <c r="AH115" s="29"/>
      <c r="AI115" s="29"/>
      <c r="AJ115" s="29"/>
      <c r="AK115" s="29"/>
    </row>
    <row r="116" spans="1:37" s="20" customFormat="1" ht="21" customHeight="1">
      <c r="A116" s="262"/>
      <c r="B116" s="271"/>
      <c r="C116" s="271"/>
      <c r="D116" s="258"/>
      <c r="E116" s="258"/>
      <c r="F116" s="258"/>
      <c r="G116" s="258"/>
      <c r="H116" s="250"/>
      <c r="I116" s="256"/>
      <c r="J116" s="250"/>
      <c r="K116" s="250"/>
      <c r="L116" s="250"/>
      <c r="M116" s="272"/>
      <c r="N116" s="250"/>
      <c r="O116" s="250"/>
      <c r="P116" s="250"/>
      <c r="Q116" s="250"/>
      <c r="R116" s="250"/>
      <c r="S116" s="250"/>
      <c r="T116" s="250"/>
      <c r="U116" s="120" t="s">
        <v>535</v>
      </c>
      <c r="V116" s="126"/>
      <c r="W116" s="126"/>
      <c r="X116" s="117" t="s">
        <v>0</v>
      </c>
      <c r="Y116" s="114">
        <v>5.6</v>
      </c>
      <c r="Z116" s="62"/>
      <c r="AA116" s="79"/>
      <c r="AB116" s="80"/>
      <c r="AC116" s="118"/>
      <c r="AD116" s="250"/>
      <c r="AE116" s="251"/>
      <c r="AF116" s="31"/>
      <c r="AG116" s="29"/>
      <c r="AH116" s="29"/>
      <c r="AI116" s="29"/>
      <c r="AJ116" s="29"/>
      <c r="AK116" s="29"/>
    </row>
    <row r="117" spans="1:37" s="20" customFormat="1" ht="58.5" customHeight="1">
      <c r="A117" s="262"/>
      <c r="B117" s="271"/>
      <c r="C117" s="271"/>
      <c r="D117" s="258"/>
      <c r="E117" s="258"/>
      <c r="F117" s="258"/>
      <c r="G117" s="258"/>
      <c r="H117" s="250"/>
      <c r="I117" s="256"/>
      <c r="J117" s="250"/>
      <c r="K117" s="250"/>
      <c r="L117" s="250"/>
      <c r="M117" s="272"/>
      <c r="N117" s="250"/>
      <c r="O117" s="250"/>
      <c r="P117" s="250"/>
      <c r="Q117" s="250"/>
      <c r="R117" s="250"/>
      <c r="S117" s="250"/>
      <c r="T117" s="250"/>
      <c r="U117" s="120" t="s">
        <v>536</v>
      </c>
      <c r="V117" s="126"/>
      <c r="W117" s="126"/>
      <c r="X117" s="117" t="s">
        <v>6</v>
      </c>
      <c r="Y117" s="118">
        <v>4.2</v>
      </c>
      <c r="Z117" s="62"/>
      <c r="AA117" s="79"/>
      <c r="AB117" s="80"/>
      <c r="AC117" s="118"/>
      <c r="AD117" s="250"/>
      <c r="AE117" s="251"/>
      <c r="AF117" s="31"/>
      <c r="AG117" s="29"/>
      <c r="AH117" s="29"/>
      <c r="AI117" s="29"/>
      <c r="AJ117" s="29"/>
      <c r="AK117" s="29"/>
    </row>
    <row r="118" spans="1:37" s="20" customFormat="1" ht="48.75" customHeight="1">
      <c r="A118" s="262"/>
      <c r="B118" s="271"/>
      <c r="C118" s="271"/>
      <c r="D118" s="258"/>
      <c r="E118" s="258"/>
      <c r="F118" s="258"/>
      <c r="G118" s="258"/>
      <c r="H118" s="250"/>
      <c r="I118" s="256"/>
      <c r="J118" s="250"/>
      <c r="K118" s="250"/>
      <c r="L118" s="250"/>
      <c r="M118" s="272"/>
      <c r="N118" s="250"/>
      <c r="O118" s="250"/>
      <c r="P118" s="250"/>
      <c r="Q118" s="250"/>
      <c r="R118" s="250"/>
      <c r="S118" s="250"/>
      <c r="T118" s="250"/>
      <c r="U118" s="124" t="s">
        <v>537</v>
      </c>
      <c r="V118" s="101"/>
      <c r="W118" s="101"/>
      <c r="X118" s="117" t="s">
        <v>6</v>
      </c>
      <c r="Y118" s="101">
        <v>11</v>
      </c>
      <c r="Z118" s="100"/>
      <c r="AA118" s="84"/>
      <c r="AB118" s="117"/>
      <c r="AC118" s="118"/>
      <c r="AD118" s="250"/>
      <c r="AE118" s="251"/>
      <c r="AF118" s="31"/>
      <c r="AG118" s="29"/>
      <c r="AH118" s="29"/>
      <c r="AI118" s="29"/>
      <c r="AJ118" s="29"/>
      <c r="AK118" s="29"/>
    </row>
    <row r="119" spans="1:37" s="20" customFormat="1" ht="31.5" customHeight="1">
      <c r="A119" s="262">
        <v>15</v>
      </c>
      <c r="B119" s="271" t="s">
        <v>404</v>
      </c>
      <c r="C119" s="271" t="s">
        <v>412</v>
      </c>
      <c r="D119" s="258">
        <v>64</v>
      </c>
      <c r="E119" s="258">
        <v>482</v>
      </c>
      <c r="F119" s="258">
        <v>179.9</v>
      </c>
      <c r="G119" s="258" t="s">
        <v>28</v>
      </c>
      <c r="H119" s="250">
        <v>180</v>
      </c>
      <c r="I119" s="256">
        <f>F119-H119</f>
        <v>-9.9999999999994316E-2</v>
      </c>
      <c r="J119" s="250">
        <v>180</v>
      </c>
      <c r="K119" s="250">
        <v>702</v>
      </c>
      <c r="L119" s="250">
        <v>450</v>
      </c>
      <c r="M119" s="272">
        <f>J119/K119*100</f>
        <v>25.641025641025639</v>
      </c>
      <c r="N119" s="250">
        <v>5</v>
      </c>
      <c r="O119" s="250">
        <v>2</v>
      </c>
      <c r="P119" s="250">
        <v>80000</v>
      </c>
      <c r="Q119" s="250">
        <f>P119*J119</f>
        <v>14400000</v>
      </c>
      <c r="R119" s="250">
        <f>Q119*3</f>
        <v>43200000</v>
      </c>
      <c r="S119" s="250">
        <f>N119*O119*17000*30</f>
        <v>5100000</v>
      </c>
      <c r="T119" s="250">
        <f>SUM(Q119:S122)</f>
        <v>62700000</v>
      </c>
      <c r="U119" s="65" t="s">
        <v>545</v>
      </c>
      <c r="V119" s="126">
        <v>25</v>
      </c>
      <c r="W119" s="126">
        <f>J119/V119</f>
        <v>7.2</v>
      </c>
      <c r="X119" s="117" t="s">
        <v>2</v>
      </c>
      <c r="Y119" s="118">
        <v>7</v>
      </c>
      <c r="Z119" s="62"/>
      <c r="AA119" s="84"/>
      <c r="AB119" s="68"/>
      <c r="AC119" s="118"/>
      <c r="AD119" s="250">
        <f>SUM(AC119:AC122)</f>
        <v>27370000</v>
      </c>
      <c r="AE119" s="251">
        <f>T119+AD119</f>
        <v>90070000</v>
      </c>
      <c r="AF119" s="31" t="s">
        <v>546</v>
      </c>
      <c r="AG119" s="29"/>
      <c r="AH119" s="29"/>
      <c r="AI119" s="29"/>
      <c r="AJ119" s="29"/>
      <c r="AK119" s="29"/>
    </row>
    <row r="120" spans="1:37" s="20" customFormat="1" ht="22.5" customHeight="1">
      <c r="A120" s="262"/>
      <c r="B120" s="271"/>
      <c r="C120" s="271"/>
      <c r="D120" s="258"/>
      <c r="E120" s="258"/>
      <c r="F120" s="258"/>
      <c r="G120" s="258"/>
      <c r="H120" s="250"/>
      <c r="I120" s="256"/>
      <c r="J120" s="250"/>
      <c r="K120" s="250"/>
      <c r="L120" s="250"/>
      <c r="M120" s="272"/>
      <c r="N120" s="250"/>
      <c r="O120" s="250"/>
      <c r="P120" s="250"/>
      <c r="Q120" s="250"/>
      <c r="R120" s="250"/>
      <c r="S120" s="250"/>
      <c r="T120" s="250"/>
      <c r="U120" s="67" t="s">
        <v>421</v>
      </c>
      <c r="V120" s="126"/>
      <c r="W120" s="126"/>
      <c r="X120" s="117" t="s">
        <v>2</v>
      </c>
      <c r="Y120" s="118">
        <v>7</v>
      </c>
      <c r="Z120" s="62">
        <v>3850000</v>
      </c>
      <c r="AA120" s="79"/>
      <c r="AB120" s="80">
        <v>1</v>
      </c>
      <c r="AC120" s="118">
        <f t="shared" ref="AC120" si="19">Y120*Z120*AB120</f>
        <v>26950000</v>
      </c>
      <c r="AD120" s="250"/>
      <c r="AE120" s="251"/>
      <c r="AF120" s="31"/>
      <c r="AG120" s="29"/>
      <c r="AH120" s="29"/>
      <c r="AI120" s="29"/>
      <c r="AJ120" s="29"/>
      <c r="AK120" s="29"/>
    </row>
    <row r="121" spans="1:37" s="20" customFormat="1" ht="31.5">
      <c r="A121" s="262"/>
      <c r="B121" s="271"/>
      <c r="C121" s="271"/>
      <c r="D121" s="258"/>
      <c r="E121" s="258"/>
      <c r="F121" s="258"/>
      <c r="G121" s="258"/>
      <c r="H121" s="250"/>
      <c r="I121" s="256"/>
      <c r="J121" s="250"/>
      <c r="K121" s="250"/>
      <c r="L121" s="250"/>
      <c r="M121" s="272"/>
      <c r="N121" s="250"/>
      <c r="O121" s="250"/>
      <c r="P121" s="250"/>
      <c r="Q121" s="250"/>
      <c r="R121" s="250"/>
      <c r="S121" s="250"/>
      <c r="T121" s="250"/>
      <c r="U121" s="65" t="s">
        <v>547</v>
      </c>
      <c r="V121" s="126">
        <v>10</v>
      </c>
      <c r="W121" s="126">
        <f>J119/V121</f>
        <v>18</v>
      </c>
      <c r="X121" s="117" t="s">
        <v>396</v>
      </c>
      <c r="Y121" s="118">
        <v>10</v>
      </c>
      <c r="Z121" s="62"/>
      <c r="AA121" s="84"/>
      <c r="AB121" s="68"/>
      <c r="AC121" s="118"/>
      <c r="AD121" s="250"/>
      <c r="AE121" s="251"/>
      <c r="AF121" s="31"/>
      <c r="AG121" s="29"/>
      <c r="AH121" s="29"/>
      <c r="AI121" s="29"/>
      <c r="AJ121" s="29"/>
      <c r="AK121" s="29"/>
    </row>
    <row r="122" spans="1:37" s="20" customFormat="1" ht="21" customHeight="1">
      <c r="A122" s="262"/>
      <c r="B122" s="271"/>
      <c r="C122" s="271"/>
      <c r="D122" s="258"/>
      <c r="E122" s="258"/>
      <c r="F122" s="258"/>
      <c r="G122" s="258"/>
      <c r="H122" s="250"/>
      <c r="I122" s="256"/>
      <c r="J122" s="250"/>
      <c r="K122" s="250"/>
      <c r="L122" s="250"/>
      <c r="M122" s="272"/>
      <c r="N122" s="250"/>
      <c r="O122" s="250"/>
      <c r="P122" s="250"/>
      <c r="Q122" s="250"/>
      <c r="R122" s="250"/>
      <c r="S122" s="250"/>
      <c r="T122" s="250"/>
      <c r="U122" s="67" t="s">
        <v>421</v>
      </c>
      <c r="V122" s="126"/>
      <c r="W122" s="126"/>
      <c r="X122" s="117" t="s">
        <v>396</v>
      </c>
      <c r="Y122" s="118">
        <v>10</v>
      </c>
      <c r="Z122" s="62">
        <v>140000</v>
      </c>
      <c r="AA122" s="84"/>
      <c r="AB122" s="68">
        <v>0.3</v>
      </c>
      <c r="AC122" s="118">
        <f>Y122*Z122*AB122</f>
        <v>420000</v>
      </c>
      <c r="AD122" s="250"/>
      <c r="AE122" s="251"/>
      <c r="AF122" s="31"/>
      <c r="AG122" s="29"/>
      <c r="AH122" s="29"/>
      <c r="AI122" s="29"/>
      <c r="AJ122" s="29"/>
      <c r="AK122" s="29"/>
    </row>
    <row r="123" spans="1:37" s="20" customFormat="1" ht="33.75" customHeight="1">
      <c r="A123" s="262">
        <v>16</v>
      </c>
      <c r="B123" s="271" t="s">
        <v>405</v>
      </c>
      <c r="C123" s="271" t="s">
        <v>412</v>
      </c>
      <c r="D123" s="258">
        <v>64</v>
      </c>
      <c r="E123" s="258">
        <v>496</v>
      </c>
      <c r="F123" s="258">
        <v>1459.3</v>
      </c>
      <c r="G123" s="258" t="s">
        <v>28</v>
      </c>
      <c r="H123" s="250">
        <v>1444.5</v>
      </c>
      <c r="I123" s="256">
        <f>F123-H123</f>
        <v>14.799999999999955</v>
      </c>
      <c r="J123" s="250">
        <v>1444.5</v>
      </c>
      <c r="K123" s="250">
        <v>1800</v>
      </c>
      <c r="L123" s="250">
        <v>450</v>
      </c>
      <c r="M123" s="272">
        <f>J123/K123*100</f>
        <v>80.25</v>
      </c>
      <c r="N123" s="250">
        <v>12</v>
      </c>
      <c r="O123" s="250">
        <v>10</v>
      </c>
      <c r="P123" s="250">
        <v>80000</v>
      </c>
      <c r="Q123" s="250">
        <f>P123*J123</f>
        <v>115560000</v>
      </c>
      <c r="R123" s="250">
        <f>Q123*3</f>
        <v>346680000</v>
      </c>
      <c r="S123" s="250">
        <f>N123*O123*17000*30</f>
        <v>61200000</v>
      </c>
      <c r="T123" s="250">
        <f>SUM(Q123:S139)</f>
        <v>523440000</v>
      </c>
      <c r="U123" s="65" t="s">
        <v>457</v>
      </c>
      <c r="V123" s="126">
        <v>25</v>
      </c>
      <c r="W123" s="126">
        <f>(J123-12)/V123</f>
        <v>57.3</v>
      </c>
      <c r="X123" s="117" t="s">
        <v>2</v>
      </c>
      <c r="Y123" s="118">
        <v>29</v>
      </c>
      <c r="Z123" s="62"/>
      <c r="AA123" s="79"/>
      <c r="AB123" s="80"/>
      <c r="AC123" s="118"/>
      <c r="AD123" s="250">
        <f>SUM(AC123:AC139)</f>
        <v>250705000</v>
      </c>
      <c r="AE123" s="251">
        <f>T123+AD123</f>
        <v>774145000</v>
      </c>
      <c r="AF123" s="31" t="s">
        <v>448</v>
      </c>
      <c r="AG123" s="29"/>
      <c r="AH123" s="29"/>
      <c r="AI123" s="29"/>
      <c r="AJ123" s="29"/>
      <c r="AK123" s="29"/>
    </row>
    <row r="124" spans="1:37" s="20" customFormat="1" ht="21" customHeight="1">
      <c r="A124" s="262"/>
      <c r="B124" s="271"/>
      <c r="C124" s="271"/>
      <c r="D124" s="258"/>
      <c r="E124" s="258"/>
      <c r="F124" s="258"/>
      <c r="G124" s="258"/>
      <c r="H124" s="250"/>
      <c r="I124" s="256"/>
      <c r="J124" s="250"/>
      <c r="K124" s="250"/>
      <c r="L124" s="250"/>
      <c r="M124" s="272"/>
      <c r="N124" s="250"/>
      <c r="O124" s="250"/>
      <c r="P124" s="250"/>
      <c r="Q124" s="250"/>
      <c r="R124" s="250"/>
      <c r="S124" s="250"/>
      <c r="T124" s="250"/>
      <c r="U124" s="67" t="s">
        <v>421</v>
      </c>
      <c r="V124" s="126"/>
      <c r="W124" s="126"/>
      <c r="X124" s="117" t="s">
        <v>2</v>
      </c>
      <c r="Y124" s="118">
        <v>29</v>
      </c>
      <c r="Z124" s="62">
        <v>4500000</v>
      </c>
      <c r="AA124" s="79"/>
      <c r="AB124" s="80">
        <v>1</v>
      </c>
      <c r="AC124" s="118">
        <f>Y124*Z124*AB124</f>
        <v>130500000</v>
      </c>
      <c r="AD124" s="250"/>
      <c r="AE124" s="251"/>
      <c r="AF124" s="31"/>
      <c r="AG124" s="29"/>
      <c r="AH124" s="29"/>
      <c r="AI124" s="29"/>
      <c r="AJ124" s="29"/>
      <c r="AK124" s="29"/>
    </row>
    <row r="125" spans="1:37" s="20" customFormat="1" ht="31.5">
      <c r="A125" s="262"/>
      <c r="B125" s="271"/>
      <c r="C125" s="271"/>
      <c r="D125" s="258"/>
      <c r="E125" s="258"/>
      <c r="F125" s="258"/>
      <c r="G125" s="258"/>
      <c r="H125" s="250"/>
      <c r="I125" s="256"/>
      <c r="J125" s="250"/>
      <c r="K125" s="250"/>
      <c r="L125" s="250"/>
      <c r="M125" s="272"/>
      <c r="N125" s="250"/>
      <c r="O125" s="250"/>
      <c r="P125" s="250"/>
      <c r="Q125" s="250"/>
      <c r="R125" s="250"/>
      <c r="S125" s="250"/>
      <c r="T125" s="250"/>
      <c r="U125" s="65" t="s">
        <v>643</v>
      </c>
      <c r="V125" s="126"/>
      <c r="W125" s="126"/>
      <c r="X125" s="117" t="s">
        <v>2</v>
      </c>
      <c r="Y125" s="118">
        <v>30</v>
      </c>
      <c r="Z125" s="62"/>
      <c r="AA125" s="84"/>
      <c r="AB125" s="68"/>
      <c r="AC125" s="118"/>
      <c r="AD125" s="250"/>
      <c r="AE125" s="251"/>
      <c r="AF125" s="31"/>
      <c r="AG125" s="29"/>
      <c r="AH125" s="29"/>
      <c r="AI125" s="29"/>
      <c r="AJ125" s="29"/>
      <c r="AK125" s="29"/>
    </row>
    <row r="126" spans="1:37" s="20" customFormat="1" ht="21" customHeight="1">
      <c r="A126" s="262"/>
      <c r="B126" s="271"/>
      <c r="C126" s="271"/>
      <c r="D126" s="258"/>
      <c r="E126" s="258"/>
      <c r="F126" s="258"/>
      <c r="G126" s="258"/>
      <c r="H126" s="250"/>
      <c r="I126" s="256"/>
      <c r="J126" s="250"/>
      <c r="K126" s="250"/>
      <c r="L126" s="250"/>
      <c r="M126" s="272"/>
      <c r="N126" s="250"/>
      <c r="O126" s="250"/>
      <c r="P126" s="250"/>
      <c r="Q126" s="250"/>
      <c r="R126" s="250"/>
      <c r="S126" s="250"/>
      <c r="T126" s="250"/>
      <c r="U126" s="67" t="s">
        <v>421</v>
      </c>
      <c r="V126" s="126"/>
      <c r="W126" s="126"/>
      <c r="X126" s="117" t="s">
        <v>2</v>
      </c>
      <c r="Y126" s="118">
        <v>28</v>
      </c>
      <c r="Z126" s="62">
        <v>3850000</v>
      </c>
      <c r="AA126" s="79"/>
      <c r="AB126" s="80">
        <v>1</v>
      </c>
      <c r="AC126" s="118">
        <f t="shared" ref="AC126:AC128" si="20">Y126*Z126*AB126</f>
        <v>107800000</v>
      </c>
      <c r="AD126" s="250"/>
      <c r="AE126" s="251"/>
      <c r="AF126" s="31"/>
      <c r="AG126" s="29"/>
      <c r="AH126" s="29"/>
      <c r="AI126" s="29"/>
      <c r="AJ126" s="29"/>
      <c r="AK126" s="29"/>
    </row>
    <row r="127" spans="1:37" s="20" customFormat="1" ht="21" customHeight="1">
      <c r="A127" s="262"/>
      <c r="B127" s="271"/>
      <c r="C127" s="271"/>
      <c r="D127" s="258"/>
      <c r="E127" s="258"/>
      <c r="F127" s="258"/>
      <c r="G127" s="258"/>
      <c r="H127" s="250"/>
      <c r="I127" s="256"/>
      <c r="J127" s="250"/>
      <c r="K127" s="250"/>
      <c r="L127" s="250"/>
      <c r="M127" s="272"/>
      <c r="N127" s="250"/>
      <c r="O127" s="250"/>
      <c r="P127" s="250"/>
      <c r="Q127" s="250"/>
      <c r="R127" s="250"/>
      <c r="S127" s="250"/>
      <c r="T127" s="250"/>
      <c r="U127" s="67" t="s">
        <v>423</v>
      </c>
      <c r="V127" s="126"/>
      <c r="W127" s="126">
        <f>0.3*2</f>
        <v>0.6</v>
      </c>
      <c r="X127" s="117" t="s">
        <v>2</v>
      </c>
      <c r="Y127" s="118">
        <v>1</v>
      </c>
      <c r="Z127" s="62">
        <v>3850000</v>
      </c>
      <c r="AA127" s="79"/>
      <c r="AB127" s="80">
        <v>0.3</v>
      </c>
      <c r="AC127" s="118">
        <f t="shared" si="20"/>
        <v>1155000</v>
      </c>
      <c r="AD127" s="250"/>
      <c r="AE127" s="251"/>
      <c r="AF127" s="31"/>
      <c r="AG127" s="29"/>
      <c r="AH127" s="29"/>
      <c r="AI127" s="29"/>
      <c r="AJ127" s="29"/>
      <c r="AK127" s="29"/>
    </row>
    <row r="128" spans="1:37" s="20" customFormat="1" ht="21" customHeight="1">
      <c r="A128" s="262"/>
      <c r="B128" s="271"/>
      <c r="C128" s="271"/>
      <c r="D128" s="258"/>
      <c r="E128" s="258"/>
      <c r="F128" s="258"/>
      <c r="G128" s="258"/>
      <c r="H128" s="250"/>
      <c r="I128" s="256"/>
      <c r="J128" s="250"/>
      <c r="K128" s="250"/>
      <c r="L128" s="250"/>
      <c r="M128" s="272"/>
      <c r="N128" s="250"/>
      <c r="O128" s="250"/>
      <c r="P128" s="250"/>
      <c r="Q128" s="250"/>
      <c r="R128" s="250"/>
      <c r="S128" s="250"/>
      <c r="T128" s="250"/>
      <c r="U128" s="67" t="s">
        <v>424</v>
      </c>
      <c r="V128" s="126"/>
      <c r="W128" s="126"/>
      <c r="X128" s="117" t="s">
        <v>2</v>
      </c>
      <c r="Y128" s="118">
        <v>1</v>
      </c>
      <c r="Z128" s="62">
        <v>3850000</v>
      </c>
      <c r="AA128" s="79"/>
      <c r="AB128" s="80">
        <v>0</v>
      </c>
      <c r="AC128" s="118">
        <f t="shared" si="20"/>
        <v>0</v>
      </c>
      <c r="AD128" s="250"/>
      <c r="AE128" s="251"/>
      <c r="AF128" s="31"/>
      <c r="AG128" s="29"/>
      <c r="AH128" s="29"/>
      <c r="AI128" s="29"/>
      <c r="AJ128" s="29"/>
      <c r="AK128" s="29"/>
    </row>
    <row r="129" spans="1:37" s="20" customFormat="1" ht="31.5">
      <c r="A129" s="262"/>
      <c r="B129" s="271"/>
      <c r="C129" s="271"/>
      <c r="D129" s="258"/>
      <c r="E129" s="258"/>
      <c r="F129" s="258"/>
      <c r="G129" s="258"/>
      <c r="H129" s="250"/>
      <c r="I129" s="256"/>
      <c r="J129" s="250"/>
      <c r="K129" s="250"/>
      <c r="L129" s="250"/>
      <c r="M129" s="272"/>
      <c r="N129" s="250"/>
      <c r="O129" s="250"/>
      <c r="P129" s="250"/>
      <c r="Q129" s="250"/>
      <c r="R129" s="250"/>
      <c r="S129" s="250"/>
      <c r="T129" s="250"/>
      <c r="U129" s="65" t="s">
        <v>468</v>
      </c>
      <c r="V129" s="126">
        <v>20</v>
      </c>
      <c r="W129" s="126">
        <f>(J123-12)/V129</f>
        <v>71.625</v>
      </c>
      <c r="X129" s="117" t="s">
        <v>2</v>
      </c>
      <c r="Y129" s="118">
        <v>15</v>
      </c>
      <c r="Z129" s="62"/>
      <c r="AA129" s="79"/>
      <c r="AB129" s="80"/>
      <c r="AC129" s="118"/>
      <c r="AD129" s="250"/>
      <c r="AE129" s="251"/>
      <c r="AF129" s="31"/>
      <c r="AG129" s="29"/>
      <c r="AH129" s="29"/>
      <c r="AI129" s="29"/>
      <c r="AJ129" s="29"/>
      <c r="AK129" s="29"/>
    </row>
    <row r="130" spans="1:37" s="20" customFormat="1" ht="40.5" customHeight="1">
      <c r="A130" s="262"/>
      <c r="B130" s="271"/>
      <c r="C130" s="271"/>
      <c r="D130" s="258"/>
      <c r="E130" s="258"/>
      <c r="F130" s="258"/>
      <c r="G130" s="258"/>
      <c r="H130" s="250"/>
      <c r="I130" s="256"/>
      <c r="J130" s="250"/>
      <c r="K130" s="250"/>
      <c r="L130" s="250"/>
      <c r="M130" s="272"/>
      <c r="N130" s="250"/>
      <c r="O130" s="250"/>
      <c r="P130" s="250"/>
      <c r="Q130" s="250"/>
      <c r="R130" s="250"/>
      <c r="S130" s="250"/>
      <c r="T130" s="250"/>
      <c r="U130" s="67" t="s">
        <v>497</v>
      </c>
      <c r="V130" s="126"/>
      <c r="W130" s="126">
        <f>0.3*W129</f>
        <v>21.487500000000001</v>
      </c>
      <c r="X130" s="117" t="s">
        <v>2</v>
      </c>
      <c r="Y130" s="118">
        <v>15</v>
      </c>
      <c r="Z130" s="62">
        <v>2500000</v>
      </c>
      <c r="AA130" s="79"/>
      <c r="AB130" s="80">
        <v>0.3</v>
      </c>
      <c r="AC130" s="118">
        <f>Y130*Z130*AB130</f>
        <v>11250000</v>
      </c>
      <c r="AD130" s="250"/>
      <c r="AE130" s="251"/>
      <c r="AF130" s="31"/>
      <c r="AG130" s="29"/>
      <c r="AH130" s="29"/>
      <c r="AI130" s="29"/>
      <c r="AJ130" s="29"/>
      <c r="AK130" s="29"/>
    </row>
    <row r="131" spans="1:37" s="20" customFormat="1" ht="31.5">
      <c r="A131" s="262"/>
      <c r="B131" s="271"/>
      <c r="C131" s="271"/>
      <c r="D131" s="258"/>
      <c r="E131" s="258"/>
      <c r="F131" s="258"/>
      <c r="G131" s="258"/>
      <c r="H131" s="250"/>
      <c r="I131" s="256"/>
      <c r="J131" s="250"/>
      <c r="K131" s="250"/>
      <c r="L131" s="250"/>
      <c r="M131" s="272"/>
      <c r="N131" s="250"/>
      <c r="O131" s="250"/>
      <c r="P131" s="250"/>
      <c r="Q131" s="250"/>
      <c r="R131" s="250"/>
      <c r="S131" s="250"/>
      <c r="T131" s="250"/>
      <c r="U131" s="65" t="s">
        <v>488</v>
      </c>
      <c r="V131" s="126">
        <v>4</v>
      </c>
      <c r="W131" s="126">
        <f>J123/V131</f>
        <v>361.125</v>
      </c>
      <c r="X131" s="117" t="s">
        <v>396</v>
      </c>
      <c r="Y131" s="118">
        <v>70</v>
      </c>
      <c r="Z131" s="62"/>
      <c r="AA131" s="84"/>
      <c r="AB131" s="68"/>
      <c r="AC131" s="118"/>
      <c r="AD131" s="250"/>
      <c r="AE131" s="251"/>
      <c r="AF131" s="31"/>
      <c r="AG131" s="29"/>
      <c r="AH131" s="29"/>
      <c r="AI131" s="29"/>
      <c r="AJ131" s="29"/>
      <c r="AK131" s="29"/>
    </row>
    <row r="132" spans="1:37" s="20" customFormat="1" ht="21" customHeight="1">
      <c r="A132" s="262"/>
      <c r="B132" s="271"/>
      <c r="C132" s="271"/>
      <c r="D132" s="258"/>
      <c r="E132" s="258"/>
      <c r="F132" s="258"/>
      <c r="G132" s="258"/>
      <c r="H132" s="250"/>
      <c r="I132" s="256"/>
      <c r="J132" s="250"/>
      <c r="K132" s="250"/>
      <c r="L132" s="250"/>
      <c r="M132" s="272"/>
      <c r="N132" s="250"/>
      <c r="O132" s="250"/>
      <c r="P132" s="250"/>
      <c r="Q132" s="250"/>
      <c r="R132" s="250"/>
      <c r="S132" s="250"/>
      <c r="T132" s="250"/>
      <c r="U132" s="67" t="s">
        <v>486</v>
      </c>
      <c r="V132" s="126"/>
      <c r="W132" s="126">
        <f>0.3*W131</f>
        <v>108.33749999999999</v>
      </c>
      <c r="X132" s="117" t="s">
        <v>396</v>
      </c>
      <c r="Y132" s="118">
        <v>70</v>
      </c>
      <c r="Z132" s="62">
        <v>200000</v>
      </c>
      <c r="AA132" s="84"/>
      <c r="AB132" s="68">
        <v>0</v>
      </c>
      <c r="AC132" s="118">
        <f>Y132*Z132*AB132</f>
        <v>0</v>
      </c>
      <c r="AD132" s="250"/>
      <c r="AE132" s="251"/>
      <c r="AF132" s="31"/>
      <c r="AG132" s="29"/>
      <c r="AH132" s="29"/>
      <c r="AI132" s="29"/>
      <c r="AJ132" s="29"/>
      <c r="AK132" s="29"/>
    </row>
    <row r="133" spans="1:37" s="20" customFormat="1" ht="35.25" customHeight="1">
      <c r="A133" s="262"/>
      <c r="B133" s="271"/>
      <c r="C133" s="271"/>
      <c r="D133" s="258"/>
      <c r="E133" s="258"/>
      <c r="F133" s="258"/>
      <c r="G133" s="258"/>
      <c r="H133" s="250"/>
      <c r="I133" s="256"/>
      <c r="J133" s="250"/>
      <c r="K133" s="250"/>
      <c r="L133" s="250"/>
      <c r="M133" s="272"/>
      <c r="N133" s="250"/>
      <c r="O133" s="250"/>
      <c r="P133" s="250"/>
      <c r="Q133" s="250"/>
      <c r="R133" s="250"/>
      <c r="S133" s="250"/>
      <c r="T133" s="250"/>
      <c r="U133" s="65" t="s">
        <v>431</v>
      </c>
      <c r="V133" s="126"/>
      <c r="W133" s="126"/>
      <c r="X133" s="117" t="s">
        <v>396</v>
      </c>
      <c r="Y133" s="118">
        <v>60</v>
      </c>
      <c r="Z133" s="62"/>
      <c r="AA133" s="84"/>
      <c r="AB133" s="68"/>
      <c r="AC133" s="118"/>
      <c r="AD133" s="250"/>
      <c r="AE133" s="251"/>
      <c r="AF133" s="31"/>
      <c r="AG133" s="29"/>
      <c r="AH133" s="29"/>
      <c r="AI133" s="29"/>
      <c r="AJ133" s="29"/>
      <c r="AK133" s="29"/>
    </row>
    <row r="134" spans="1:37" s="20" customFormat="1" ht="21" customHeight="1">
      <c r="A134" s="262"/>
      <c r="B134" s="271"/>
      <c r="C134" s="271"/>
      <c r="D134" s="258"/>
      <c r="E134" s="258"/>
      <c r="F134" s="258"/>
      <c r="G134" s="258"/>
      <c r="H134" s="250"/>
      <c r="I134" s="256"/>
      <c r="J134" s="250"/>
      <c r="K134" s="250"/>
      <c r="L134" s="250"/>
      <c r="M134" s="272"/>
      <c r="N134" s="250"/>
      <c r="O134" s="250"/>
      <c r="P134" s="250"/>
      <c r="Q134" s="250"/>
      <c r="R134" s="250"/>
      <c r="S134" s="250"/>
      <c r="T134" s="250"/>
      <c r="U134" s="67" t="s">
        <v>486</v>
      </c>
      <c r="V134" s="126"/>
      <c r="W134" s="126"/>
      <c r="X134" s="117" t="s">
        <v>396</v>
      </c>
      <c r="Y134" s="118">
        <v>60</v>
      </c>
      <c r="Z134" s="62">
        <v>150000</v>
      </c>
      <c r="AA134" s="84"/>
      <c r="AB134" s="68">
        <v>0</v>
      </c>
      <c r="AC134" s="118">
        <f>Y134*Z134*AB134</f>
        <v>0</v>
      </c>
      <c r="AD134" s="250"/>
      <c r="AE134" s="251"/>
      <c r="AF134" s="31"/>
      <c r="AG134" s="29"/>
      <c r="AH134" s="29"/>
      <c r="AI134" s="29"/>
      <c r="AJ134" s="29"/>
      <c r="AK134" s="29"/>
    </row>
    <row r="135" spans="1:37" s="20" customFormat="1" ht="56.25" customHeight="1">
      <c r="A135" s="262"/>
      <c r="B135" s="271"/>
      <c r="C135" s="271"/>
      <c r="D135" s="258"/>
      <c r="E135" s="258"/>
      <c r="F135" s="258"/>
      <c r="G135" s="258"/>
      <c r="H135" s="250"/>
      <c r="I135" s="256"/>
      <c r="J135" s="250"/>
      <c r="K135" s="250"/>
      <c r="L135" s="250"/>
      <c r="M135" s="272"/>
      <c r="N135" s="250"/>
      <c r="O135" s="250"/>
      <c r="P135" s="250"/>
      <c r="Q135" s="250"/>
      <c r="R135" s="250"/>
      <c r="S135" s="250"/>
      <c r="T135" s="250"/>
      <c r="U135" s="120" t="s">
        <v>483</v>
      </c>
      <c r="V135" s="126"/>
      <c r="W135" s="126"/>
      <c r="X135" s="117" t="s">
        <v>6</v>
      </c>
      <c r="Y135" s="114">
        <v>140</v>
      </c>
      <c r="Z135" s="62"/>
      <c r="AA135" s="84"/>
      <c r="AB135" s="68"/>
      <c r="AC135" s="118"/>
      <c r="AD135" s="250"/>
      <c r="AE135" s="251"/>
      <c r="AF135" s="31"/>
      <c r="AG135" s="29"/>
      <c r="AH135" s="29"/>
      <c r="AI135" s="29"/>
      <c r="AJ135" s="29"/>
      <c r="AK135" s="29"/>
    </row>
    <row r="136" spans="1:37" s="20" customFormat="1" ht="22.5" customHeight="1">
      <c r="A136" s="262"/>
      <c r="B136" s="271"/>
      <c r="C136" s="271"/>
      <c r="D136" s="258"/>
      <c r="E136" s="258"/>
      <c r="F136" s="258"/>
      <c r="G136" s="258"/>
      <c r="H136" s="250"/>
      <c r="I136" s="256"/>
      <c r="J136" s="250"/>
      <c r="K136" s="250"/>
      <c r="L136" s="250"/>
      <c r="M136" s="272"/>
      <c r="N136" s="250"/>
      <c r="O136" s="250"/>
      <c r="P136" s="250"/>
      <c r="Q136" s="250"/>
      <c r="R136" s="250"/>
      <c r="S136" s="250"/>
      <c r="T136" s="250"/>
      <c r="U136" s="120" t="s">
        <v>576</v>
      </c>
      <c r="V136" s="126"/>
      <c r="W136" s="126"/>
      <c r="X136" s="117" t="s">
        <v>6</v>
      </c>
      <c r="Y136" s="114">
        <v>240</v>
      </c>
      <c r="Z136" s="62"/>
      <c r="AA136" s="84"/>
      <c r="AB136" s="68"/>
      <c r="AC136" s="118"/>
      <c r="AD136" s="250"/>
      <c r="AE136" s="251"/>
      <c r="AF136" s="31"/>
      <c r="AG136" s="29"/>
      <c r="AH136" s="29"/>
      <c r="AI136" s="29"/>
      <c r="AJ136" s="29"/>
      <c r="AK136" s="29"/>
    </row>
    <row r="137" spans="1:37" s="20" customFormat="1" ht="22.5" customHeight="1">
      <c r="A137" s="262"/>
      <c r="B137" s="271"/>
      <c r="C137" s="271"/>
      <c r="D137" s="258"/>
      <c r="E137" s="258"/>
      <c r="F137" s="258"/>
      <c r="G137" s="258"/>
      <c r="H137" s="250"/>
      <c r="I137" s="256"/>
      <c r="J137" s="250"/>
      <c r="K137" s="250"/>
      <c r="L137" s="250"/>
      <c r="M137" s="272"/>
      <c r="N137" s="250"/>
      <c r="O137" s="250"/>
      <c r="P137" s="250"/>
      <c r="Q137" s="250"/>
      <c r="R137" s="250"/>
      <c r="S137" s="250"/>
      <c r="T137" s="250"/>
      <c r="U137" s="124" t="s">
        <v>443</v>
      </c>
      <c r="V137" s="126"/>
      <c r="W137" s="126"/>
      <c r="X137" s="117" t="s">
        <v>399</v>
      </c>
      <c r="Y137" s="114">
        <v>2</v>
      </c>
      <c r="Z137" s="62"/>
      <c r="AA137" s="84"/>
      <c r="AB137" s="68"/>
      <c r="AC137" s="118"/>
      <c r="AD137" s="250"/>
      <c r="AE137" s="251"/>
      <c r="AF137" s="31"/>
      <c r="AG137" s="29"/>
      <c r="AH137" s="29"/>
      <c r="AI137" s="29"/>
      <c r="AJ137" s="29"/>
      <c r="AK137" s="29"/>
    </row>
    <row r="138" spans="1:37" s="20" customFormat="1" ht="47.25" customHeight="1">
      <c r="A138" s="262"/>
      <c r="B138" s="271"/>
      <c r="C138" s="271"/>
      <c r="D138" s="258"/>
      <c r="E138" s="258"/>
      <c r="F138" s="258"/>
      <c r="G138" s="258"/>
      <c r="H138" s="250"/>
      <c r="I138" s="256"/>
      <c r="J138" s="250"/>
      <c r="K138" s="250"/>
      <c r="L138" s="250"/>
      <c r="M138" s="272"/>
      <c r="N138" s="250"/>
      <c r="O138" s="250"/>
      <c r="P138" s="250"/>
      <c r="Q138" s="250"/>
      <c r="R138" s="250"/>
      <c r="S138" s="250"/>
      <c r="T138" s="250"/>
      <c r="U138" s="124" t="s">
        <v>577</v>
      </c>
      <c r="V138" s="126"/>
      <c r="W138" s="126"/>
      <c r="X138" s="117" t="s">
        <v>414</v>
      </c>
      <c r="Y138" s="114">
        <v>18</v>
      </c>
      <c r="Z138" s="62"/>
      <c r="AA138" s="84"/>
      <c r="AB138" s="68"/>
      <c r="AC138" s="118"/>
      <c r="AD138" s="250"/>
      <c r="AE138" s="251"/>
      <c r="AF138" s="31"/>
      <c r="AG138" s="29"/>
      <c r="AH138" s="29"/>
      <c r="AI138" s="29"/>
      <c r="AJ138" s="29"/>
      <c r="AK138" s="29"/>
    </row>
    <row r="139" spans="1:37" s="20" customFormat="1" ht="47.25" customHeight="1">
      <c r="A139" s="262"/>
      <c r="B139" s="271"/>
      <c r="C139" s="271"/>
      <c r="D139" s="258"/>
      <c r="E139" s="258"/>
      <c r="F139" s="258"/>
      <c r="G139" s="258"/>
      <c r="H139" s="250"/>
      <c r="I139" s="256"/>
      <c r="J139" s="250"/>
      <c r="K139" s="250"/>
      <c r="L139" s="250"/>
      <c r="M139" s="272"/>
      <c r="N139" s="250"/>
      <c r="O139" s="250"/>
      <c r="P139" s="250"/>
      <c r="Q139" s="250"/>
      <c r="R139" s="250"/>
      <c r="S139" s="250"/>
      <c r="T139" s="250"/>
      <c r="U139" s="120" t="s">
        <v>578</v>
      </c>
      <c r="V139" s="126"/>
      <c r="W139" s="126"/>
      <c r="X139" s="117" t="s">
        <v>7</v>
      </c>
      <c r="Y139" s="114">
        <v>100</v>
      </c>
      <c r="Z139" s="62"/>
      <c r="AA139" s="79"/>
      <c r="AB139" s="80"/>
      <c r="AC139" s="118"/>
      <c r="AD139" s="250"/>
      <c r="AE139" s="251"/>
      <c r="AF139" s="31"/>
      <c r="AG139" s="29"/>
      <c r="AH139" s="29"/>
      <c r="AI139" s="29"/>
      <c r="AJ139" s="29"/>
      <c r="AK139" s="29"/>
    </row>
    <row r="140" spans="1:37" s="19" customFormat="1" ht="23.25" customHeight="1">
      <c r="A140" s="262">
        <v>17</v>
      </c>
      <c r="B140" s="263" t="s">
        <v>548</v>
      </c>
      <c r="C140" s="258" t="s">
        <v>33</v>
      </c>
      <c r="D140" s="258">
        <v>64</v>
      </c>
      <c r="E140" s="258">
        <v>816</v>
      </c>
      <c r="F140" s="258">
        <v>183.6</v>
      </c>
      <c r="G140" s="258" t="s">
        <v>28</v>
      </c>
      <c r="H140" s="250">
        <v>180</v>
      </c>
      <c r="I140" s="256">
        <f>F140-H140</f>
        <v>3.5999999999999943</v>
      </c>
      <c r="J140" s="250">
        <v>180</v>
      </c>
      <c r="K140" s="250">
        <v>1080</v>
      </c>
      <c r="L140" s="258"/>
      <c r="M140" s="272">
        <f>J140/K140*100</f>
        <v>16.666666666666664</v>
      </c>
      <c r="N140" s="250">
        <v>3</v>
      </c>
      <c r="O140" s="250">
        <v>7</v>
      </c>
      <c r="P140" s="250">
        <v>80000</v>
      </c>
      <c r="Q140" s="250">
        <f>P140*J140</f>
        <v>14400000</v>
      </c>
      <c r="R140" s="250">
        <f>Q140*3</f>
        <v>43200000</v>
      </c>
      <c r="S140" s="250">
        <f>N140*O140*17000*30</f>
        <v>10710000</v>
      </c>
      <c r="T140" s="250">
        <f>SUM(Q140:S146)</f>
        <v>68310000</v>
      </c>
      <c r="U140" s="82" t="s">
        <v>446</v>
      </c>
      <c r="V140" s="126"/>
      <c r="W140" s="126"/>
      <c r="X140" s="117" t="s">
        <v>0</v>
      </c>
      <c r="Y140" s="83">
        <v>135</v>
      </c>
      <c r="Z140" s="62">
        <v>180000</v>
      </c>
      <c r="AA140" s="84"/>
      <c r="AB140" s="68">
        <v>1</v>
      </c>
      <c r="AC140" s="118">
        <f>Y140*Z140*AB140</f>
        <v>24300000</v>
      </c>
      <c r="AD140" s="250">
        <f>SUM(AC140:AC146)</f>
        <v>26800000</v>
      </c>
      <c r="AE140" s="251">
        <f>T140+AD140</f>
        <v>95110000</v>
      </c>
      <c r="AF140" s="31"/>
      <c r="AG140" s="81"/>
      <c r="AH140" s="81"/>
      <c r="AI140" s="81"/>
      <c r="AJ140" s="81"/>
      <c r="AK140" s="81"/>
    </row>
    <row r="141" spans="1:37" s="19" customFormat="1" ht="36" customHeight="1">
      <c r="A141" s="262"/>
      <c r="B141" s="263"/>
      <c r="C141" s="258"/>
      <c r="D141" s="258"/>
      <c r="E141" s="258"/>
      <c r="F141" s="258"/>
      <c r="G141" s="258"/>
      <c r="H141" s="250"/>
      <c r="I141" s="256"/>
      <c r="J141" s="250"/>
      <c r="K141" s="250"/>
      <c r="L141" s="258"/>
      <c r="M141" s="272"/>
      <c r="N141" s="250"/>
      <c r="O141" s="250"/>
      <c r="P141" s="250"/>
      <c r="Q141" s="250"/>
      <c r="R141" s="250"/>
      <c r="S141" s="250"/>
      <c r="T141" s="250"/>
      <c r="U141" s="65" t="s">
        <v>449</v>
      </c>
      <c r="V141" s="126">
        <v>4</v>
      </c>
      <c r="W141" s="126">
        <f>(J140-Y140)/V141</f>
        <v>11.25</v>
      </c>
      <c r="X141" s="117" t="s">
        <v>396</v>
      </c>
      <c r="Y141" s="118">
        <v>20</v>
      </c>
      <c r="Z141" s="62"/>
      <c r="AA141" s="84"/>
      <c r="AB141" s="68"/>
      <c r="AC141" s="118"/>
      <c r="AD141" s="250"/>
      <c r="AE141" s="251"/>
      <c r="AF141" s="31" t="s">
        <v>398</v>
      </c>
      <c r="AG141" s="81"/>
      <c r="AH141" s="81"/>
      <c r="AI141" s="81"/>
      <c r="AJ141" s="81"/>
      <c r="AK141" s="81"/>
    </row>
    <row r="142" spans="1:37" s="19" customFormat="1" ht="21.75" customHeight="1">
      <c r="A142" s="262"/>
      <c r="B142" s="263"/>
      <c r="C142" s="258"/>
      <c r="D142" s="258"/>
      <c r="E142" s="258"/>
      <c r="F142" s="258"/>
      <c r="G142" s="258"/>
      <c r="H142" s="250"/>
      <c r="I142" s="256"/>
      <c r="J142" s="250"/>
      <c r="K142" s="250"/>
      <c r="L142" s="258"/>
      <c r="M142" s="272"/>
      <c r="N142" s="250"/>
      <c r="O142" s="250"/>
      <c r="P142" s="250"/>
      <c r="Q142" s="250"/>
      <c r="R142" s="250"/>
      <c r="S142" s="250"/>
      <c r="T142" s="250"/>
      <c r="U142" s="67" t="s">
        <v>421</v>
      </c>
      <c r="V142" s="126"/>
      <c r="W142" s="126"/>
      <c r="X142" s="117" t="s">
        <v>396</v>
      </c>
      <c r="Y142" s="118">
        <v>11</v>
      </c>
      <c r="Z142" s="62">
        <v>200000</v>
      </c>
      <c r="AA142" s="84"/>
      <c r="AB142" s="68">
        <v>1</v>
      </c>
      <c r="AC142" s="118">
        <f>Y142*Z142*AB142</f>
        <v>2200000</v>
      </c>
      <c r="AD142" s="250"/>
      <c r="AE142" s="251"/>
      <c r="AF142" s="31"/>
      <c r="AG142" s="81"/>
      <c r="AH142" s="81"/>
      <c r="AI142" s="81"/>
      <c r="AJ142" s="81"/>
      <c r="AK142" s="81"/>
    </row>
    <row r="143" spans="1:37" s="19" customFormat="1" ht="21.75" customHeight="1">
      <c r="A143" s="262"/>
      <c r="B143" s="263"/>
      <c r="C143" s="258"/>
      <c r="D143" s="258"/>
      <c r="E143" s="258"/>
      <c r="F143" s="258"/>
      <c r="G143" s="258"/>
      <c r="H143" s="250"/>
      <c r="I143" s="256"/>
      <c r="J143" s="250"/>
      <c r="K143" s="250"/>
      <c r="L143" s="258"/>
      <c r="M143" s="272"/>
      <c r="N143" s="250"/>
      <c r="O143" s="250"/>
      <c r="P143" s="250"/>
      <c r="Q143" s="250"/>
      <c r="R143" s="250"/>
      <c r="S143" s="250"/>
      <c r="T143" s="250"/>
      <c r="U143" s="67" t="s">
        <v>423</v>
      </c>
      <c r="V143" s="126"/>
      <c r="W143" s="126">
        <f>0.3*W141</f>
        <v>3.375</v>
      </c>
      <c r="X143" s="117" t="s">
        <v>396</v>
      </c>
      <c r="Y143" s="118">
        <v>3</v>
      </c>
      <c r="Z143" s="62">
        <v>200000</v>
      </c>
      <c r="AA143" s="79"/>
      <c r="AB143" s="80">
        <v>0.5</v>
      </c>
      <c r="AC143" s="118">
        <f t="shared" ref="AC143:AC144" si="21">Y143*Z143*AB143</f>
        <v>300000</v>
      </c>
      <c r="AD143" s="250"/>
      <c r="AE143" s="251"/>
      <c r="AF143" s="31"/>
      <c r="AG143" s="81"/>
      <c r="AH143" s="81"/>
      <c r="AI143" s="81"/>
      <c r="AJ143" s="81"/>
      <c r="AK143" s="81"/>
    </row>
    <row r="144" spans="1:37" s="19" customFormat="1" ht="21.75" customHeight="1">
      <c r="A144" s="262"/>
      <c r="B144" s="263"/>
      <c r="C144" s="258"/>
      <c r="D144" s="258"/>
      <c r="E144" s="258"/>
      <c r="F144" s="258"/>
      <c r="G144" s="258"/>
      <c r="H144" s="250"/>
      <c r="I144" s="256"/>
      <c r="J144" s="250"/>
      <c r="K144" s="250"/>
      <c r="L144" s="258"/>
      <c r="M144" s="272"/>
      <c r="N144" s="250"/>
      <c r="O144" s="250"/>
      <c r="P144" s="250"/>
      <c r="Q144" s="250"/>
      <c r="R144" s="250"/>
      <c r="S144" s="250"/>
      <c r="T144" s="250"/>
      <c r="U144" s="67" t="s">
        <v>424</v>
      </c>
      <c r="V144" s="126"/>
      <c r="W144" s="126"/>
      <c r="X144" s="117" t="s">
        <v>396</v>
      </c>
      <c r="Y144" s="118">
        <f>Y142-Y143</f>
        <v>8</v>
      </c>
      <c r="Z144" s="62">
        <v>200000</v>
      </c>
      <c r="AA144" s="79"/>
      <c r="AB144" s="80">
        <v>0</v>
      </c>
      <c r="AC144" s="118">
        <f t="shared" si="21"/>
        <v>0</v>
      </c>
      <c r="AD144" s="250"/>
      <c r="AE144" s="251"/>
      <c r="AF144" s="31"/>
      <c r="AG144" s="81"/>
      <c r="AH144" s="81"/>
      <c r="AI144" s="81"/>
      <c r="AJ144" s="81"/>
      <c r="AK144" s="81"/>
    </row>
    <row r="145" spans="1:37" s="19" customFormat="1" ht="34.5" customHeight="1">
      <c r="A145" s="262"/>
      <c r="B145" s="263"/>
      <c r="C145" s="258"/>
      <c r="D145" s="258"/>
      <c r="E145" s="258"/>
      <c r="F145" s="258"/>
      <c r="G145" s="258"/>
      <c r="H145" s="250"/>
      <c r="I145" s="256"/>
      <c r="J145" s="250"/>
      <c r="K145" s="250"/>
      <c r="L145" s="258"/>
      <c r="M145" s="272"/>
      <c r="N145" s="250"/>
      <c r="O145" s="250"/>
      <c r="P145" s="250"/>
      <c r="Q145" s="250"/>
      <c r="R145" s="250"/>
      <c r="S145" s="250"/>
      <c r="T145" s="250"/>
      <c r="U145" s="65" t="s">
        <v>450</v>
      </c>
      <c r="V145" s="126"/>
      <c r="W145" s="126"/>
      <c r="X145" s="117" t="s">
        <v>396</v>
      </c>
      <c r="Y145" s="118">
        <v>5</v>
      </c>
      <c r="Z145" s="62"/>
      <c r="AA145" s="84"/>
      <c r="AB145" s="68"/>
      <c r="AC145" s="118"/>
      <c r="AD145" s="250"/>
      <c r="AE145" s="251"/>
      <c r="AF145" s="31"/>
      <c r="AG145" s="81"/>
      <c r="AH145" s="81"/>
      <c r="AI145" s="81"/>
      <c r="AJ145" s="81"/>
      <c r="AK145" s="81"/>
    </row>
    <row r="146" spans="1:37" s="19" customFormat="1" ht="21.75" customHeight="1">
      <c r="A146" s="262"/>
      <c r="B146" s="263"/>
      <c r="C146" s="258"/>
      <c r="D146" s="258"/>
      <c r="E146" s="258"/>
      <c r="F146" s="258"/>
      <c r="G146" s="258"/>
      <c r="H146" s="250"/>
      <c r="I146" s="256"/>
      <c r="J146" s="250"/>
      <c r="K146" s="250"/>
      <c r="L146" s="258"/>
      <c r="M146" s="272"/>
      <c r="N146" s="250"/>
      <c r="O146" s="250"/>
      <c r="P146" s="250"/>
      <c r="Q146" s="250"/>
      <c r="R146" s="250"/>
      <c r="S146" s="250"/>
      <c r="T146" s="250"/>
      <c r="U146" s="67" t="s">
        <v>486</v>
      </c>
      <c r="V146" s="126"/>
      <c r="W146" s="126"/>
      <c r="X146" s="117" t="s">
        <v>396</v>
      </c>
      <c r="Y146" s="118">
        <v>5</v>
      </c>
      <c r="Z146" s="62">
        <v>150000</v>
      </c>
      <c r="AA146" s="84"/>
      <c r="AB146" s="68">
        <v>0</v>
      </c>
      <c r="AC146" s="118">
        <f>Y146*Z146*AB146</f>
        <v>0</v>
      </c>
      <c r="AD146" s="250"/>
      <c r="AE146" s="251"/>
      <c r="AF146" s="31"/>
      <c r="AG146" s="81"/>
      <c r="AH146" s="81"/>
      <c r="AI146" s="81"/>
      <c r="AJ146" s="81"/>
      <c r="AK146" s="81"/>
    </row>
    <row r="147" spans="1:37" s="19" customFormat="1" ht="20.25" customHeight="1">
      <c r="A147" s="262">
        <v>18</v>
      </c>
      <c r="B147" s="263" t="s">
        <v>549</v>
      </c>
      <c r="C147" s="258" t="s">
        <v>33</v>
      </c>
      <c r="D147" s="258">
        <v>64</v>
      </c>
      <c r="E147" s="258">
        <v>494</v>
      </c>
      <c r="F147" s="258">
        <v>648.1</v>
      </c>
      <c r="G147" s="258" t="s">
        <v>28</v>
      </c>
      <c r="H147" s="250">
        <v>648</v>
      </c>
      <c r="I147" s="256">
        <f>F147-H147</f>
        <v>0.10000000000002274</v>
      </c>
      <c r="J147" s="250">
        <v>648</v>
      </c>
      <c r="K147" s="250">
        <v>720</v>
      </c>
      <c r="L147" s="258"/>
      <c r="M147" s="272">
        <f>J147/K147*100</f>
        <v>90</v>
      </c>
      <c r="N147" s="250">
        <v>12</v>
      </c>
      <c r="O147" s="250">
        <v>3</v>
      </c>
      <c r="P147" s="250">
        <v>80000</v>
      </c>
      <c r="Q147" s="250">
        <f>P147*J147</f>
        <v>51840000</v>
      </c>
      <c r="R147" s="250">
        <f>Q147*3</f>
        <v>155520000</v>
      </c>
      <c r="S147" s="250">
        <f>N147*O147*17000*30</f>
        <v>18360000</v>
      </c>
      <c r="T147" s="250">
        <f>SUM(Q147:S153)</f>
        <v>225720000</v>
      </c>
      <c r="U147" s="82" t="s">
        <v>446</v>
      </c>
      <c r="V147" s="126"/>
      <c r="W147" s="126"/>
      <c r="X147" s="117" t="s">
        <v>0</v>
      </c>
      <c r="Y147" s="83">
        <v>486</v>
      </c>
      <c r="Z147" s="62">
        <v>180000</v>
      </c>
      <c r="AA147" s="84"/>
      <c r="AB147" s="68">
        <v>1</v>
      </c>
      <c r="AC147" s="118">
        <f>Y147*Z147*AB147</f>
        <v>87480000</v>
      </c>
      <c r="AD147" s="250">
        <f>SUM(AC147:AC153)</f>
        <v>96680000</v>
      </c>
      <c r="AE147" s="251">
        <f>T147+AD147</f>
        <v>322400000</v>
      </c>
      <c r="AF147" s="31"/>
      <c r="AG147" s="81"/>
      <c r="AH147" s="81"/>
      <c r="AI147" s="81"/>
      <c r="AJ147" s="81"/>
      <c r="AK147" s="81"/>
    </row>
    <row r="148" spans="1:37" s="19" customFormat="1" ht="36" customHeight="1">
      <c r="A148" s="262"/>
      <c r="B148" s="263"/>
      <c r="C148" s="258"/>
      <c r="D148" s="258"/>
      <c r="E148" s="258"/>
      <c r="F148" s="258"/>
      <c r="G148" s="258"/>
      <c r="H148" s="250"/>
      <c r="I148" s="256"/>
      <c r="J148" s="250"/>
      <c r="K148" s="250"/>
      <c r="L148" s="258"/>
      <c r="M148" s="272"/>
      <c r="N148" s="250"/>
      <c r="O148" s="250"/>
      <c r="P148" s="250"/>
      <c r="Q148" s="250"/>
      <c r="R148" s="250"/>
      <c r="S148" s="250"/>
      <c r="T148" s="250"/>
      <c r="U148" s="65" t="s">
        <v>449</v>
      </c>
      <c r="V148" s="126">
        <v>4</v>
      </c>
      <c r="W148" s="126">
        <f>(J147-Y147)/V148</f>
        <v>40.5</v>
      </c>
      <c r="X148" s="117" t="s">
        <v>396</v>
      </c>
      <c r="Y148" s="118">
        <v>45</v>
      </c>
      <c r="Z148" s="62"/>
      <c r="AA148" s="84"/>
      <c r="AB148" s="68"/>
      <c r="AC148" s="118"/>
      <c r="AD148" s="250"/>
      <c r="AE148" s="251"/>
      <c r="AF148" s="31" t="s">
        <v>398</v>
      </c>
      <c r="AG148" s="81"/>
      <c r="AH148" s="81"/>
      <c r="AI148" s="81"/>
      <c r="AJ148" s="81"/>
      <c r="AK148" s="81"/>
    </row>
    <row r="149" spans="1:37" s="19" customFormat="1" ht="26.25" customHeight="1">
      <c r="A149" s="262"/>
      <c r="B149" s="263"/>
      <c r="C149" s="258"/>
      <c r="D149" s="258"/>
      <c r="E149" s="258"/>
      <c r="F149" s="258"/>
      <c r="G149" s="258"/>
      <c r="H149" s="250"/>
      <c r="I149" s="256"/>
      <c r="J149" s="250"/>
      <c r="K149" s="250"/>
      <c r="L149" s="258"/>
      <c r="M149" s="272"/>
      <c r="N149" s="250"/>
      <c r="O149" s="250"/>
      <c r="P149" s="250"/>
      <c r="Q149" s="250"/>
      <c r="R149" s="250"/>
      <c r="S149" s="250"/>
      <c r="T149" s="250"/>
      <c r="U149" s="67" t="s">
        <v>421</v>
      </c>
      <c r="V149" s="126"/>
      <c r="W149" s="126"/>
      <c r="X149" s="117" t="s">
        <v>396</v>
      </c>
      <c r="Y149" s="118">
        <v>41</v>
      </c>
      <c r="Z149" s="62">
        <v>200000</v>
      </c>
      <c r="AA149" s="84"/>
      <c r="AB149" s="68">
        <v>1</v>
      </c>
      <c r="AC149" s="118">
        <f>Y149*Z149*AB149</f>
        <v>8200000</v>
      </c>
      <c r="AD149" s="250"/>
      <c r="AE149" s="251"/>
      <c r="AF149" s="31"/>
      <c r="AG149" s="81"/>
      <c r="AH149" s="81"/>
      <c r="AI149" s="81"/>
      <c r="AJ149" s="81"/>
      <c r="AK149" s="81"/>
    </row>
    <row r="150" spans="1:37" s="19" customFormat="1" ht="26.25" customHeight="1">
      <c r="A150" s="262"/>
      <c r="B150" s="263"/>
      <c r="C150" s="258"/>
      <c r="D150" s="258"/>
      <c r="E150" s="258"/>
      <c r="F150" s="258"/>
      <c r="G150" s="258"/>
      <c r="H150" s="250"/>
      <c r="I150" s="256"/>
      <c r="J150" s="250"/>
      <c r="K150" s="250"/>
      <c r="L150" s="258"/>
      <c r="M150" s="272"/>
      <c r="N150" s="250"/>
      <c r="O150" s="250"/>
      <c r="P150" s="250"/>
      <c r="Q150" s="250"/>
      <c r="R150" s="250"/>
      <c r="S150" s="250"/>
      <c r="T150" s="250"/>
      <c r="U150" s="67" t="s">
        <v>423</v>
      </c>
      <c r="V150" s="126"/>
      <c r="W150" s="126">
        <f>0.3*W148</f>
        <v>12.15</v>
      </c>
      <c r="X150" s="117" t="s">
        <v>396</v>
      </c>
      <c r="Y150" s="118">
        <v>4</v>
      </c>
      <c r="Z150" s="62">
        <v>200000</v>
      </c>
      <c r="AA150" s="79"/>
      <c r="AB150" s="80">
        <v>0.5</v>
      </c>
      <c r="AC150" s="118">
        <f t="shared" ref="AC150" si="22">Y150*Z150*AB150</f>
        <v>400000</v>
      </c>
      <c r="AD150" s="250"/>
      <c r="AE150" s="251"/>
      <c r="AF150" s="31"/>
      <c r="AG150" s="102"/>
      <c r="AH150" s="81"/>
      <c r="AI150" s="81"/>
      <c r="AJ150" s="81"/>
      <c r="AK150" s="81"/>
    </row>
    <row r="151" spans="1:37" s="19" customFormat="1" ht="30.75" customHeight="1">
      <c r="A151" s="262"/>
      <c r="B151" s="263"/>
      <c r="C151" s="258"/>
      <c r="D151" s="258"/>
      <c r="E151" s="258"/>
      <c r="F151" s="258"/>
      <c r="G151" s="258"/>
      <c r="H151" s="250"/>
      <c r="I151" s="256"/>
      <c r="J151" s="250"/>
      <c r="K151" s="250"/>
      <c r="L151" s="258"/>
      <c r="M151" s="272"/>
      <c r="N151" s="250"/>
      <c r="O151" s="250"/>
      <c r="P151" s="250"/>
      <c r="Q151" s="250"/>
      <c r="R151" s="250"/>
      <c r="S151" s="250"/>
      <c r="T151" s="250"/>
      <c r="U151" s="65" t="s">
        <v>450</v>
      </c>
      <c r="V151" s="126"/>
      <c r="W151" s="126"/>
      <c r="X151" s="117" t="s">
        <v>396</v>
      </c>
      <c r="Y151" s="118">
        <v>20</v>
      </c>
      <c r="Z151" s="62"/>
      <c r="AA151" s="84"/>
      <c r="AB151" s="68"/>
      <c r="AC151" s="118"/>
      <c r="AD151" s="250"/>
      <c r="AE151" s="251"/>
      <c r="AF151" s="31"/>
      <c r="AG151" s="81"/>
      <c r="AH151" s="81"/>
      <c r="AI151" s="81"/>
      <c r="AJ151" s="81"/>
      <c r="AK151" s="81"/>
    </row>
    <row r="152" spans="1:37" s="19" customFormat="1" ht="30.75" customHeight="1">
      <c r="A152" s="262"/>
      <c r="B152" s="263"/>
      <c r="C152" s="258"/>
      <c r="D152" s="258"/>
      <c r="E152" s="258"/>
      <c r="F152" s="258"/>
      <c r="G152" s="258"/>
      <c r="H152" s="250"/>
      <c r="I152" s="256"/>
      <c r="J152" s="250"/>
      <c r="K152" s="250"/>
      <c r="L152" s="258"/>
      <c r="M152" s="272"/>
      <c r="N152" s="250"/>
      <c r="O152" s="250"/>
      <c r="P152" s="250"/>
      <c r="Q152" s="250"/>
      <c r="R152" s="250"/>
      <c r="S152" s="250"/>
      <c r="T152" s="250"/>
      <c r="U152" s="67" t="s">
        <v>423</v>
      </c>
      <c r="V152" s="126"/>
      <c r="W152" s="126"/>
      <c r="X152" s="117" t="s">
        <v>396</v>
      </c>
      <c r="Y152" s="118">
        <v>8</v>
      </c>
      <c r="Z152" s="62">
        <v>150000</v>
      </c>
      <c r="AA152" s="79"/>
      <c r="AB152" s="80">
        <v>0.5</v>
      </c>
      <c r="AC152" s="118">
        <f t="shared" ref="AC152:AC154" si="23">Y152*Z152*AB152</f>
        <v>600000</v>
      </c>
      <c r="AD152" s="250"/>
      <c r="AE152" s="251"/>
      <c r="AF152" s="31"/>
      <c r="AG152" s="81"/>
      <c r="AH152" s="81"/>
      <c r="AI152" s="81"/>
      <c r="AJ152" s="81"/>
      <c r="AK152" s="81"/>
    </row>
    <row r="153" spans="1:37" s="19" customFormat="1" ht="21.75" customHeight="1">
      <c r="A153" s="262"/>
      <c r="B153" s="263"/>
      <c r="C153" s="258"/>
      <c r="D153" s="258"/>
      <c r="E153" s="258"/>
      <c r="F153" s="258"/>
      <c r="G153" s="258"/>
      <c r="H153" s="250"/>
      <c r="I153" s="256"/>
      <c r="J153" s="250"/>
      <c r="K153" s="250"/>
      <c r="L153" s="258"/>
      <c r="M153" s="272"/>
      <c r="N153" s="250"/>
      <c r="O153" s="250"/>
      <c r="P153" s="250"/>
      <c r="Q153" s="250"/>
      <c r="R153" s="250"/>
      <c r="S153" s="250"/>
      <c r="T153" s="250"/>
      <c r="U153" s="67" t="s">
        <v>424</v>
      </c>
      <c r="V153" s="126"/>
      <c r="W153" s="126"/>
      <c r="X153" s="117" t="s">
        <v>396</v>
      </c>
      <c r="Y153" s="118">
        <f>Y151-Y152</f>
        <v>12</v>
      </c>
      <c r="Z153" s="62">
        <v>150000</v>
      </c>
      <c r="AA153" s="79"/>
      <c r="AB153" s="80">
        <v>0</v>
      </c>
      <c r="AC153" s="118">
        <f t="shared" si="23"/>
        <v>0</v>
      </c>
      <c r="AD153" s="250"/>
      <c r="AE153" s="251"/>
      <c r="AF153" s="31"/>
      <c r="AG153" s="81"/>
      <c r="AH153" s="81"/>
      <c r="AI153" s="81"/>
      <c r="AJ153" s="81"/>
      <c r="AK153" s="81"/>
    </row>
    <row r="154" spans="1:37" s="19" customFormat="1" ht="26.25" customHeight="1">
      <c r="A154" s="262">
        <v>19</v>
      </c>
      <c r="B154" s="263" t="s">
        <v>550</v>
      </c>
      <c r="C154" s="258" t="s">
        <v>33</v>
      </c>
      <c r="D154" s="258">
        <v>64</v>
      </c>
      <c r="E154" s="258">
        <v>493</v>
      </c>
      <c r="F154" s="258">
        <v>469.7</v>
      </c>
      <c r="G154" s="258" t="s">
        <v>28</v>
      </c>
      <c r="H154" s="250">
        <v>468</v>
      </c>
      <c r="I154" s="256">
        <f>F154-H154</f>
        <v>1.6999999999999886</v>
      </c>
      <c r="J154" s="250">
        <v>468</v>
      </c>
      <c r="K154" s="250">
        <v>720</v>
      </c>
      <c r="L154" s="258"/>
      <c r="M154" s="272">
        <f>J154/K154*100</f>
        <v>65</v>
      </c>
      <c r="N154" s="250">
        <v>6</v>
      </c>
      <c r="O154" s="250">
        <v>2</v>
      </c>
      <c r="P154" s="250">
        <v>80000</v>
      </c>
      <c r="Q154" s="250">
        <f>P154*J154</f>
        <v>37440000</v>
      </c>
      <c r="R154" s="250">
        <f>Q154*3</f>
        <v>112320000</v>
      </c>
      <c r="S154" s="250">
        <f>N154*O154*17000*30</f>
        <v>6120000</v>
      </c>
      <c r="T154" s="250">
        <f>SUM(Q154:S160)</f>
        <v>155880000</v>
      </c>
      <c r="U154" s="82" t="s">
        <v>446</v>
      </c>
      <c r="V154" s="126"/>
      <c r="W154" s="126"/>
      <c r="X154" s="117" t="s">
        <v>0</v>
      </c>
      <c r="Y154" s="83">
        <v>351</v>
      </c>
      <c r="Z154" s="62">
        <v>180000</v>
      </c>
      <c r="AA154" s="84"/>
      <c r="AB154" s="68">
        <v>1</v>
      </c>
      <c r="AC154" s="118">
        <f t="shared" si="23"/>
        <v>63180000</v>
      </c>
      <c r="AD154" s="250">
        <f>SUM(AC154:AC160)</f>
        <v>69880000</v>
      </c>
      <c r="AE154" s="251">
        <f>T154+AD154</f>
        <v>225760000</v>
      </c>
      <c r="AF154" s="31"/>
      <c r="AG154" s="81"/>
      <c r="AH154" s="81"/>
      <c r="AI154" s="81"/>
      <c r="AJ154" s="81"/>
      <c r="AK154" s="81"/>
    </row>
    <row r="155" spans="1:37" s="19" customFormat="1" ht="36" customHeight="1">
      <c r="A155" s="262"/>
      <c r="B155" s="263"/>
      <c r="C155" s="258"/>
      <c r="D155" s="258"/>
      <c r="E155" s="258"/>
      <c r="F155" s="258"/>
      <c r="G155" s="258"/>
      <c r="H155" s="250"/>
      <c r="I155" s="256"/>
      <c r="J155" s="250"/>
      <c r="K155" s="250"/>
      <c r="L155" s="258"/>
      <c r="M155" s="272"/>
      <c r="N155" s="250"/>
      <c r="O155" s="250"/>
      <c r="P155" s="250"/>
      <c r="Q155" s="250"/>
      <c r="R155" s="250"/>
      <c r="S155" s="250"/>
      <c r="T155" s="250"/>
      <c r="U155" s="65" t="s">
        <v>449</v>
      </c>
      <c r="V155" s="126">
        <v>4</v>
      </c>
      <c r="W155" s="126">
        <f>(J154-Y154)/V155</f>
        <v>29.25</v>
      </c>
      <c r="X155" s="117" t="s">
        <v>396</v>
      </c>
      <c r="Y155" s="118">
        <v>45</v>
      </c>
      <c r="Z155" s="62"/>
      <c r="AA155" s="84"/>
      <c r="AB155" s="68"/>
      <c r="AC155" s="118"/>
      <c r="AD155" s="250"/>
      <c r="AE155" s="251"/>
      <c r="AF155" s="31" t="s">
        <v>398</v>
      </c>
      <c r="AG155" s="81"/>
      <c r="AH155" s="81"/>
      <c r="AI155" s="81"/>
      <c r="AJ155" s="81"/>
      <c r="AK155" s="81"/>
    </row>
    <row r="156" spans="1:37" s="19" customFormat="1" ht="21.75" customHeight="1">
      <c r="A156" s="262"/>
      <c r="B156" s="263"/>
      <c r="C156" s="258"/>
      <c r="D156" s="258"/>
      <c r="E156" s="258"/>
      <c r="F156" s="258"/>
      <c r="G156" s="258"/>
      <c r="H156" s="250"/>
      <c r="I156" s="256"/>
      <c r="J156" s="250"/>
      <c r="K156" s="250"/>
      <c r="L156" s="258"/>
      <c r="M156" s="272"/>
      <c r="N156" s="250"/>
      <c r="O156" s="250"/>
      <c r="P156" s="250"/>
      <c r="Q156" s="250"/>
      <c r="R156" s="250"/>
      <c r="S156" s="250"/>
      <c r="T156" s="250"/>
      <c r="U156" s="67" t="s">
        <v>421</v>
      </c>
      <c r="V156" s="126"/>
      <c r="W156" s="126"/>
      <c r="X156" s="117" t="s">
        <v>396</v>
      </c>
      <c r="Y156" s="118">
        <v>29</v>
      </c>
      <c r="Z156" s="62">
        <v>200000</v>
      </c>
      <c r="AA156" s="84"/>
      <c r="AB156" s="68">
        <v>1</v>
      </c>
      <c r="AC156" s="118">
        <f>Y156*Z156*AB156</f>
        <v>5800000</v>
      </c>
      <c r="AD156" s="250"/>
      <c r="AE156" s="251"/>
      <c r="AF156" s="31"/>
      <c r="AG156" s="81"/>
      <c r="AH156" s="81"/>
      <c r="AI156" s="81"/>
      <c r="AJ156" s="81"/>
      <c r="AK156" s="81"/>
    </row>
    <row r="157" spans="1:37" s="19" customFormat="1" ht="21.75" customHeight="1">
      <c r="A157" s="262"/>
      <c r="B157" s="263"/>
      <c r="C157" s="258"/>
      <c r="D157" s="258"/>
      <c r="E157" s="258"/>
      <c r="F157" s="258"/>
      <c r="G157" s="258"/>
      <c r="H157" s="250"/>
      <c r="I157" s="256"/>
      <c r="J157" s="250"/>
      <c r="K157" s="250"/>
      <c r="L157" s="258"/>
      <c r="M157" s="272"/>
      <c r="N157" s="250"/>
      <c r="O157" s="250"/>
      <c r="P157" s="250"/>
      <c r="Q157" s="250"/>
      <c r="R157" s="250"/>
      <c r="S157" s="250"/>
      <c r="T157" s="250"/>
      <c r="U157" s="67" t="s">
        <v>423</v>
      </c>
      <c r="V157" s="126"/>
      <c r="W157" s="126">
        <f>0.3*W155</f>
        <v>8.7750000000000004</v>
      </c>
      <c r="X157" s="117" t="s">
        <v>396</v>
      </c>
      <c r="Y157" s="118">
        <v>9</v>
      </c>
      <c r="Z157" s="62">
        <v>200000</v>
      </c>
      <c r="AA157" s="79"/>
      <c r="AB157" s="80">
        <v>0.5</v>
      </c>
      <c r="AC157" s="118">
        <f t="shared" ref="AC157:AC158" si="24">Y157*Z157*AB157</f>
        <v>900000</v>
      </c>
      <c r="AD157" s="250"/>
      <c r="AE157" s="251"/>
      <c r="AF157" s="31"/>
      <c r="AG157" s="81"/>
      <c r="AH157" s="81"/>
      <c r="AI157" s="81"/>
      <c r="AJ157" s="81"/>
      <c r="AK157" s="81"/>
    </row>
    <row r="158" spans="1:37" s="19" customFormat="1" ht="21.75" customHeight="1">
      <c r="A158" s="262"/>
      <c r="B158" s="263"/>
      <c r="C158" s="258"/>
      <c r="D158" s="258"/>
      <c r="E158" s="258"/>
      <c r="F158" s="258"/>
      <c r="G158" s="258"/>
      <c r="H158" s="250"/>
      <c r="I158" s="256"/>
      <c r="J158" s="250"/>
      <c r="K158" s="250"/>
      <c r="L158" s="258"/>
      <c r="M158" s="272"/>
      <c r="N158" s="250"/>
      <c r="O158" s="250"/>
      <c r="P158" s="250"/>
      <c r="Q158" s="250"/>
      <c r="R158" s="250"/>
      <c r="S158" s="250"/>
      <c r="T158" s="250"/>
      <c r="U158" s="67" t="s">
        <v>424</v>
      </c>
      <c r="V158" s="126"/>
      <c r="W158" s="126"/>
      <c r="X158" s="117" t="s">
        <v>396</v>
      </c>
      <c r="Y158" s="118">
        <f>Y156-Y157</f>
        <v>20</v>
      </c>
      <c r="Z158" s="62">
        <v>200000</v>
      </c>
      <c r="AA158" s="79"/>
      <c r="AB158" s="80">
        <v>0</v>
      </c>
      <c r="AC158" s="118">
        <f t="shared" si="24"/>
        <v>0</v>
      </c>
      <c r="AD158" s="250"/>
      <c r="AE158" s="251"/>
      <c r="AF158" s="31"/>
      <c r="AG158" s="81"/>
      <c r="AH158" s="81"/>
      <c r="AI158" s="81"/>
      <c r="AJ158" s="81"/>
      <c r="AK158" s="81"/>
    </row>
    <row r="159" spans="1:37" s="19" customFormat="1" ht="30.75" customHeight="1">
      <c r="A159" s="262"/>
      <c r="B159" s="263"/>
      <c r="C159" s="258"/>
      <c r="D159" s="258"/>
      <c r="E159" s="258"/>
      <c r="F159" s="258"/>
      <c r="G159" s="258"/>
      <c r="H159" s="250"/>
      <c r="I159" s="256"/>
      <c r="J159" s="250"/>
      <c r="K159" s="250"/>
      <c r="L159" s="258"/>
      <c r="M159" s="272"/>
      <c r="N159" s="250"/>
      <c r="O159" s="250"/>
      <c r="P159" s="250"/>
      <c r="Q159" s="250"/>
      <c r="R159" s="250"/>
      <c r="S159" s="250"/>
      <c r="T159" s="250"/>
      <c r="U159" s="65" t="s">
        <v>450</v>
      </c>
      <c r="V159" s="126"/>
      <c r="W159" s="126"/>
      <c r="X159" s="117" t="s">
        <v>396</v>
      </c>
      <c r="Y159" s="118">
        <v>30</v>
      </c>
      <c r="Z159" s="62"/>
      <c r="AA159" s="84"/>
      <c r="AB159" s="68"/>
      <c r="AC159" s="118"/>
      <c r="AD159" s="250"/>
      <c r="AE159" s="251"/>
      <c r="AF159" s="31"/>
      <c r="AG159" s="81"/>
      <c r="AH159" s="81"/>
      <c r="AI159" s="81"/>
      <c r="AJ159" s="81"/>
      <c r="AK159" s="81"/>
    </row>
    <row r="160" spans="1:37" s="19" customFormat="1" ht="21.75" customHeight="1">
      <c r="A160" s="262"/>
      <c r="B160" s="263"/>
      <c r="C160" s="258"/>
      <c r="D160" s="258"/>
      <c r="E160" s="258"/>
      <c r="F160" s="258"/>
      <c r="G160" s="258"/>
      <c r="H160" s="250"/>
      <c r="I160" s="256"/>
      <c r="J160" s="250"/>
      <c r="K160" s="250"/>
      <c r="L160" s="258"/>
      <c r="M160" s="272"/>
      <c r="N160" s="250"/>
      <c r="O160" s="250"/>
      <c r="P160" s="250"/>
      <c r="Q160" s="250"/>
      <c r="R160" s="250"/>
      <c r="S160" s="250"/>
      <c r="T160" s="250"/>
      <c r="U160" s="67" t="s">
        <v>424</v>
      </c>
      <c r="V160" s="126"/>
      <c r="W160" s="126"/>
      <c r="X160" s="117" t="s">
        <v>396</v>
      </c>
      <c r="Y160" s="118">
        <v>30</v>
      </c>
      <c r="Z160" s="62">
        <v>150000</v>
      </c>
      <c r="AA160" s="79"/>
      <c r="AB160" s="80">
        <v>0</v>
      </c>
      <c r="AC160" s="118">
        <f t="shared" ref="AC160:AC162" si="25">Y160*Z160*AB160</f>
        <v>0</v>
      </c>
      <c r="AD160" s="250"/>
      <c r="AE160" s="251"/>
      <c r="AF160" s="31"/>
      <c r="AG160" s="81"/>
      <c r="AH160" s="81"/>
      <c r="AI160" s="81"/>
      <c r="AJ160" s="81"/>
      <c r="AK160" s="81"/>
    </row>
    <row r="161" spans="1:37" s="19" customFormat="1" ht="28.5" customHeight="1">
      <c r="A161" s="262">
        <v>20</v>
      </c>
      <c r="B161" s="263" t="s">
        <v>636</v>
      </c>
      <c r="C161" s="258" t="s">
        <v>33</v>
      </c>
      <c r="D161" s="258">
        <v>64</v>
      </c>
      <c r="E161" s="258">
        <v>491</v>
      </c>
      <c r="F161" s="258">
        <v>1055.3</v>
      </c>
      <c r="G161" s="258" t="s">
        <v>28</v>
      </c>
      <c r="H161" s="256">
        <v>1055.7</v>
      </c>
      <c r="I161" s="256">
        <f>F161-H161</f>
        <v>-0.40000000000009095</v>
      </c>
      <c r="J161" s="256">
        <v>1055.7</v>
      </c>
      <c r="K161" s="250">
        <v>1800</v>
      </c>
      <c r="L161" s="258"/>
      <c r="M161" s="272">
        <f>J161/K161*100</f>
        <v>58.650000000000006</v>
      </c>
      <c r="N161" s="250">
        <v>6</v>
      </c>
      <c r="O161" s="250">
        <v>4</v>
      </c>
      <c r="P161" s="250">
        <v>80000</v>
      </c>
      <c r="Q161" s="250">
        <f>P161*J161</f>
        <v>84456000</v>
      </c>
      <c r="R161" s="250">
        <f>Q161*3</f>
        <v>253368000</v>
      </c>
      <c r="S161" s="250">
        <f>N161*O161*17000*30</f>
        <v>12240000</v>
      </c>
      <c r="T161" s="250">
        <f>SUM(Q161:S162)</f>
        <v>350064000</v>
      </c>
      <c r="U161" s="82" t="s">
        <v>446</v>
      </c>
      <c r="V161" s="126"/>
      <c r="W161" s="126"/>
      <c r="X161" s="117" t="s">
        <v>0</v>
      </c>
      <c r="Y161" s="83">
        <v>1055</v>
      </c>
      <c r="Z161" s="62">
        <v>180000</v>
      </c>
      <c r="AA161" s="84"/>
      <c r="AB161" s="68">
        <v>1</v>
      </c>
      <c r="AC161" s="118">
        <f t="shared" si="25"/>
        <v>189900000</v>
      </c>
      <c r="AD161" s="250">
        <f>SUM(AC161:AC162)</f>
        <v>189900000</v>
      </c>
      <c r="AE161" s="251">
        <f>T161+AD161</f>
        <v>539964000</v>
      </c>
      <c r="AF161" s="31"/>
      <c r="AG161" s="81"/>
      <c r="AH161" s="81"/>
      <c r="AI161" s="81"/>
      <c r="AJ161" s="81"/>
      <c r="AK161" s="81"/>
    </row>
    <row r="162" spans="1:37" s="19" customFormat="1" ht="28.5" customHeight="1">
      <c r="A162" s="262"/>
      <c r="B162" s="263"/>
      <c r="C162" s="258"/>
      <c r="D162" s="258"/>
      <c r="E162" s="258"/>
      <c r="F162" s="258"/>
      <c r="G162" s="258"/>
      <c r="H162" s="256"/>
      <c r="I162" s="256"/>
      <c r="J162" s="256"/>
      <c r="K162" s="250"/>
      <c r="L162" s="258"/>
      <c r="M162" s="272"/>
      <c r="N162" s="250"/>
      <c r="O162" s="250"/>
      <c r="P162" s="250"/>
      <c r="Q162" s="250"/>
      <c r="R162" s="250"/>
      <c r="S162" s="250"/>
      <c r="T162" s="250"/>
      <c r="U162" s="124" t="s">
        <v>504</v>
      </c>
      <c r="V162" s="126"/>
      <c r="W162" s="126"/>
      <c r="X162" s="117" t="s">
        <v>399</v>
      </c>
      <c r="Y162" s="114">
        <v>1</v>
      </c>
      <c r="Z162" s="62"/>
      <c r="AA162" s="84"/>
      <c r="AB162" s="80">
        <v>0</v>
      </c>
      <c r="AC162" s="118">
        <f t="shared" si="25"/>
        <v>0</v>
      </c>
      <c r="AD162" s="250"/>
      <c r="AE162" s="251"/>
      <c r="AF162" s="31"/>
      <c r="AG162" s="81"/>
      <c r="AH162" s="81"/>
      <c r="AI162" s="81"/>
      <c r="AJ162" s="81"/>
      <c r="AK162" s="81"/>
    </row>
    <row r="163" spans="1:37" s="19" customFormat="1" ht="24" customHeight="1">
      <c r="A163" s="262">
        <v>21</v>
      </c>
      <c r="B163" s="271" t="s">
        <v>615</v>
      </c>
      <c r="C163" s="258" t="s">
        <v>39</v>
      </c>
      <c r="D163" s="258">
        <v>64</v>
      </c>
      <c r="E163" s="258">
        <v>488</v>
      </c>
      <c r="F163" s="258">
        <v>288.10000000000002</v>
      </c>
      <c r="G163" s="258" t="s">
        <v>28</v>
      </c>
      <c r="H163" s="250">
        <v>288</v>
      </c>
      <c r="I163" s="256">
        <f>F163-H163</f>
        <v>0.10000000000002274</v>
      </c>
      <c r="J163" s="270">
        <f>H163+H166</f>
        <v>839.7</v>
      </c>
      <c r="K163" s="250">
        <v>1080</v>
      </c>
      <c r="L163" s="250"/>
      <c r="M163" s="256">
        <f>J163/K163*100</f>
        <v>77.750000000000014</v>
      </c>
      <c r="N163" s="250">
        <v>12</v>
      </c>
      <c r="O163" s="250">
        <v>6</v>
      </c>
      <c r="P163" s="250">
        <v>80000</v>
      </c>
      <c r="Q163" s="250">
        <f>P163*J163</f>
        <v>67176000</v>
      </c>
      <c r="R163" s="250">
        <f>Q163*3</f>
        <v>201528000</v>
      </c>
      <c r="S163" s="250">
        <f>N163*O163*17000*30</f>
        <v>36720000</v>
      </c>
      <c r="T163" s="250">
        <f>SUM(Q163:S166)</f>
        <v>305424000</v>
      </c>
      <c r="U163" s="82" t="s">
        <v>556</v>
      </c>
      <c r="V163" s="126"/>
      <c r="W163" s="126"/>
      <c r="X163" s="117" t="s">
        <v>0</v>
      </c>
      <c r="Y163" s="83">
        <v>180</v>
      </c>
      <c r="Z163" s="62">
        <v>200000</v>
      </c>
      <c r="AA163" s="84"/>
      <c r="AB163" s="68">
        <v>1</v>
      </c>
      <c r="AC163" s="118">
        <f>Y163*Z163*AB163</f>
        <v>36000000</v>
      </c>
      <c r="AD163" s="250">
        <f>SUM(AC163:AC165)</f>
        <v>37200000</v>
      </c>
      <c r="AE163" s="251">
        <f>T163+AD163+AD166</f>
        <v>429024000</v>
      </c>
      <c r="AF163" s="31"/>
      <c r="AG163" s="81"/>
      <c r="AH163" s="81"/>
      <c r="AI163" s="81"/>
      <c r="AJ163" s="81"/>
      <c r="AK163" s="81"/>
    </row>
    <row r="164" spans="1:37" s="19" customFormat="1" ht="37.5" customHeight="1">
      <c r="A164" s="262"/>
      <c r="B164" s="271"/>
      <c r="C164" s="258"/>
      <c r="D164" s="258"/>
      <c r="E164" s="258"/>
      <c r="F164" s="258"/>
      <c r="G164" s="258"/>
      <c r="H164" s="250"/>
      <c r="I164" s="256"/>
      <c r="J164" s="270"/>
      <c r="K164" s="250"/>
      <c r="L164" s="250"/>
      <c r="M164" s="256"/>
      <c r="N164" s="250"/>
      <c r="O164" s="250"/>
      <c r="P164" s="250"/>
      <c r="Q164" s="250"/>
      <c r="R164" s="250"/>
      <c r="S164" s="250"/>
      <c r="T164" s="250"/>
      <c r="U164" s="65" t="s">
        <v>637</v>
      </c>
      <c r="V164" s="126">
        <v>10</v>
      </c>
      <c r="W164" s="126">
        <f>(H163-Y163)/V164</f>
        <v>10.8</v>
      </c>
      <c r="X164" s="117" t="s">
        <v>2</v>
      </c>
      <c r="Y164" s="118">
        <v>5</v>
      </c>
      <c r="Z164" s="62"/>
      <c r="AA164" s="79"/>
      <c r="AB164" s="80"/>
      <c r="AC164" s="118"/>
      <c r="AD164" s="250"/>
      <c r="AE164" s="251"/>
      <c r="AF164" s="31"/>
      <c r="AG164" s="81"/>
      <c r="AH164" s="81"/>
      <c r="AI164" s="81"/>
      <c r="AJ164" s="81"/>
      <c r="AK164" s="81"/>
    </row>
    <row r="165" spans="1:37" s="19" customFormat="1" ht="22.5" customHeight="1">
      <c r="A165" s="262"/>
      <c r="B165" s="271"/>
      <c r="C165" s="258"/>
      <c r="D165" s="258"/>
      <c r="E165" s="258"/>
      <c r="F165" s="258"/>
      <c r="G165" s="258"/>
      <c r="H165" s="250"/>
      <c r="I165" s="256"/>
      <c r="J165" s="270"/>
      <c r="K165" s="250"/>
      <c r="L165" s="250"/>
      <c r="M165" s="256"/>
      <c r="N165" s="250"/>
      <c r="O165" s="250"/>
      <c r="P165" s="250"/>
      <c r="Q165" s="250"/>
      <c r="R165" s="250"/>
      <c r="S165" s="250"/>
      <c r="T165" s="250"/>
      <c r="U165" s="67" t="s">
        <v>421</v>
      </c>
      <c r="V165" s="126"/>
      <c r="W165" s="126"/>
      <c r="X165" s="117" t="s">
        <v>2</v>
      </c>
      <c r="Y165" s="118">
        <v>5</v>
      </c>
      <c r="Z165" s="62">
        <v>240000</v>
      </c>
      <c r="AA165" s="79"/>
      <c r="AB165" s="80">
        <v>1</v>
      </c>
      <c r="AC165" s="118">
        <f t="shared" ref="AC165:AC166" si="26">Y165*Z165*AB165</f>
        <v>1200000</v>
      </c>
      <c r="AD165" s="250"/>
      <c r="AE165" s="251"/>
      <c r="AF165" s="31"/>
      <c r="AG165" s="81"/>
      <c r="AH165" s="81"/>
      <c r="AI165" s="81"/>
      <c r="AJ165" s="81"/>
      <c r="AK165" s="81"/>
    </row>
    <row r="166" spans="1:37" s="19" customFormat="1" ht="40.5" customHeight="1">
      <c r="A166" s="262"/>
      <c r="B166" s="271"/>
      <c r="C166" s="119"/>
      <c r="D166" s="119">
        <v>64</v>
      </c>
      <c r="E166" s="119">
        <v>820</v>
      </c>
      <c r="F166" s="119">
        <v>551.20000000000005</v>
      </c>
      <c r="G166" s="119" t="s">
        <v>28</v>
      </c>
      <c r="H166" s="70">
        <v>551.70000000000005</v>
      </c>
      <c r="I166" s="127">
        <f>F166-H166</f>
        <v>-0.5</v>
      </c>
      <c r="J166" s="270"/>
      <c r="K166" s="250"/>
      <c r="L166" s="250"/>
      <c r="M166" s="256"/>
      <c r="N166" s="250"/>
      <c r="O166" s="250"/>
      <c r="P166" s="250"/>
      <c r="Q166" s="250"/>
      <c r="R166" s="250"/>
      <c r="S166" s="250"/>
      <c r="T166" s="250"/>
      <c r="U166" s="82" t="s">
        <v>556</v>
      </c>
      <c r="V166" s="126"/>
      <c r="W166" s="126"/>
      <c r="X166" s="117" t="s">
        <v>0</v>
      </c>
      <c r="Y166" s="83">
        <v>432</v>
      </c>
      <c r="Z166" s="62">
        <v>200000</v>
      </c>
      <c r="AA166" s="84"/>
      <c r="AB166" s="68">
        <v>1</v>
      </c>
      <c r="AC166" s="118">
        <f t="shared" si="26"/>
        <v>86400000</v>
      </c>
      <c r="AD166" s="118">
        <f>SUM(AC166:AC166)</f>
        <v>86400000</v>
      </c>
      <c r="AE166" s="251"/>
      <c r="AF166" s="31"/>
      <c r="AG166" s="81"/>
      <c r="AH166" s="81"/>
      <c r="AI166" s="81"/>
      <c r="AJ166" s="81"/>
      <c r="AK166" s="81"/>
    </row>
    <row r="167" spans="1:37" s="28" customFormat="1" ht="32.25" customHeight="1">
      <c r="A167" s="262">
        <v>22</v>
      </c>
      <c r="B167" s="263" t="s">
        <v>662</v>
      </c>
      <c r="C167" s="119"/>
      <c r="D167" s="258">
        <v>64</v>
      </c>
      <c r="E167" s="258">
        <v>594</v>
      </c>
      <c r="F167" s="258">
        <v>180.1</v>
      </c>
      <c r="G167" s="258" t="s">
        <v>28</v>
      </c>
      <c r="H167" s="250">
        <v>180</v>
      </c>
      <c r="I167" s="256">
        <f>F167-H167</f>
        <v>9.9999999999994316E-2</v>
      </c>
      <c r="J167" s="268">
        <v>180</v>
      </c>
      <c r="K167" s="268">
        <v>1800</v>
      </c>
      <c r="L167" s="119"/>
      <c r="M167" s="269">
        <f>J167/K167*100</f>
        <v>10</v>
      </c>
      <c r="N167" s="264">
        <v>3</v>
      </c>
      <c r="O167" s="264">
        <v>3</v>
      </c>
      <c r="P167" s="264">
        <v>80000</v>
      </c>
      <c r="Q167" s="264">
        <f>P167*J167</f>
        <v>14400000</v>
      </c>
      <c r="R167" s="264">
        <f>Q167*3</f>
        <v>43200000</v>
      </c>
      <c r="S167" s="264">
        <f>N167*O167*17000*30</f>
        <v>4590000</v>
      </c>
      <c r="T167" s="264">
        <f>SUM(Q167:S178)</f>
        <v>62190000</v>
      </c>
      <c r="U167" s="65" t="s">
        <v>663</v>
      </c>
      <c r="V167" s="50">
        <v>10</v>
      </c>
      <c r="W167" s="50">
        <f>(J167-37)/V167</f>
        <v>14.3</v>
      </c>
      <c r="X167" s="117" t="s">
        <v>2</v>
      </c>
      <c r="Y167" s="118">
        <v>30</v>
      </c>
      <c r="Z167" s="62"/>
      <c r="AA167" s="79"/>
      <c r="AB167" s="80"/>
      <c r="AC167" s="118">
        <f>Y167*Z167*AB167</f>
        <v>0</v>
      </c>
      <c r="AD167" s="250">
        <f>SUM(AC167:AC178)</f>
        <v>4836000</v>
      </c>
      <c r="AE167" s="251">
        <f>T167+AD167</f>
        <v>67026000</v>
      </c>
      <c r="AF167" s="103">
        <f>Y167*10</f>
        <v>300</v>
      </c>
      <c r="AG167" s="265" t="s">
        <v>664</v>
      </c>
      <c r="AH167" s="103" t="s">
        <v>398</v>
      </c>
      <c r="AI167" s="259" t="s">
        <v>665</v>
      </c>
      <c r="AJ167" s="253" t="s">
        <v>681</v>
      </c>
      <c r="AK167" s="103"/>
    </row>
    <row r="168" spans="1:37" s="28" customFormat="1" ht="19.5" customHeight="1">
      <c r="A168" s="262"/>
      <c r="B168" s="263"/>
      <c r="C168" s="119"/>
      <c r="D168" s="258"/>
      <c r="E168" s="258"/>
      <c r="F168" s="258"/>
      <c r="G168" s="258"/>
      <c r="H168" s="250"/>
      <c r="I168" s="256"/>
      <c r="J168" s="268"/>
      <c r="K168" s="268"/>
      <c r="L168" s="119"/>
      <c r="M168" s="269"/>
      <c r="N168" s="264"/>
      <c r="O168" s="264"/>
      <c r="P168" s="264"/>
      <c r="Q168" s="264"/>
      <c r="R168" s="264"/>
      <c r="S168" s="264"/>
      <c r="T168" s="264"/>
      <c r="U168" s="67" t="s">
        <v>421</v>
      </c>
      <c r="V168" s="50"/>
      <c r="W168" s="50"/>
      <c r="X168" s="117" t="s">
        <v>2</v>
      </c>
      <c r="Y168" s="118">
        <v>14</v>
      </c>
      <c r="Z168" s="62">
        <v>240000</v>
      </c>
      <c r="AA168" s="79"/>
      <c r="AB168" s="80">
        <v>1</v>
      </c>
      <c r="AC168" s="118">
        <f>Y168*Z168*AB168</f>
        <v>3360000</v>
      </c>
      <c r="AD168" s="250"/>
      <c r="AE168" s="251"/>
      <c r="AF168" s="103"/>
      <c r="AG168" s="266"/>
      <c r="AH168" s="103"/>
      <c r="AI168" s="260"/>
      <c r="AJ168" s="254"/>
      <c r="AK168" s="103"/>
    </row>
    <row r="169" spans="1:37" s="28" customFormat="1" ht="19.5" customHeight="1">
      <c r="A169" s="262"/>
      <c r="B169" s="263"/>
      <c r="C169" s="119"/>
      <c r="D169" s="258"/>
      <c r="E169" s="258"/>
      <c r="F169" s="258"/>
      <c r="G169" s="258"/>
      <c r="H169" s="250"/>
      <c r="I169" s="256"/>
      <c r="J169" s="268"/>
      <c r="K169" s="268"/>
      <c r="L169" s="119"/>
      <c r="M169" s="269"/>
      <c r="N169" s="264"/>
      <c r="O169" s="264"/>
      <c r="P169" s="264"/>
      <c r="Q169" s="264"/>
      <c r="R169" s="264"/>
      <c r="S169" s="264"/>
      <c r="T169" s="264"/>
      <c r="U169" s="67" t="s">
        <v>423</v>
      </c>
      <c r="V169" s="50"/>
      <c r="W169" s="50">
        <f>0.3*(40-14)</f>
        <v>7.8</v>
      </c>
      <c r="X169" s="117" t="s">
        <v>2</v>
      </c>
      <c r="Y169" s="118">
        <v>8</v>
      </c>
      <c r="Z169" s="62">
        <v>240000</v>
      </c>
      <c r="AA169" s="79"/>
      <c r="AB169" s="80">
        <v>0.3</v>
      </c>
      <c r="AC169" s="118">
        <f>Y169*Z169*AB169</f>
        <v>576000</v>
      </c>
      <c r="AD169" s="250"/>
      <c r="AE169" s="251"/>
      <c r="AF169" s="103"/>
      <c r="AG169" s="266"/>
      <c r="AH169" s="103"/>
      <c r="AI169" s="260"/>
      <c r="AJ169" s="254"/>
      <c r="AK169" s="103"/>
    </row>
    <row r="170" spans="1:37" s="28" customFormat="1" ht="19.5" customHeight="1">
      <c r="A170" s="262"/>
      <c r="B170" s="263"/>
      <c r="C170" s="119"/>
      <c r="D170" s="258"/>
      <c r="E170" s="258"/>
      <c r="F170" s="258"/>
      <c r="G170" s="258"/>
      <c r="H170" s="250"/>
      <c r="I170" s="256"/>
      <c r="J170" s="268"/>
      <c r="K170" s="268"/>
      <c r="L170" s="119"/>
      <c r="M170" s="269"/>
      <c r="N170" s="264"/>
      <c r="O170" s="264"/>
      <c r="P170" s="264"/>
      <c r="Q170" s="264"/>
      <c r="R170" s="264"/>
      <c r="S170" s="264"/>
      <c r="T170" s="264"/>
      <c r="U170" s="67" t="s">
        <v>424</v>
      </c>
      <c r="V170" s="50"/>
      <c r="W170" s="50"/>
      <c r="X170" s="117" t="s">
        <v>2</v>
      </c>
      <c r="Y170" s="118">
        <f>Y167-Y168-Y169</f>
        <v>8</v>
      </c>
      <c r="Z170" s="62">
        <v>240000</v>
      </c>
      <c r="AA170" s="79"/>
      <c r="AB170" s="80">
        <v>0</v>
      </c>
      <c r="AC170" s="118">
        <f t="shared" ref="AC170" si="27">Y170*Z170*AB170/100</f>
        <v>0</v>
      </c>
      <c r="AD170" s="250"/>
      <c r="AE170" s="251"/>
      <c r="AF170" s="103"/>
      <c r="AG170" s="266"/>
      <c r="AH170" s="103"/>
      <c r="AI170" s="260"/>
      <c r="AJ170" s="254"/>
      <c r="AK170" s="103"/>
    </row>
    <row r="171" spans="1:37" s="28" customFormat="1" ht="36.75" customHeight="1">
      <c r="A171" s="262"/>
      <c r="B171" s="263"/>
      <c r="C171" s="119"/>
      <c r="D171" s="258"/>
      <c r="E171" s="258"/>
      <c r="F171" s="258"/>
      <c r="G171" s="258"/>
      <c r="H171" s="250"/>
      <c r="I171" s="256"/>
      <c r="J171" s="268"/>
      <c r="K171" s="268"/>
      <c r="L171" s="119"/>
      <c r="M171" s="269"/>
      <c r="N171" s="264"/>
      <c r="O171" s="264"/>
      <c r="P171" s="264"/>
      <c r="Q171" s="264"/>
      <c r="R171" s="264"/>
      <c r="S171" s="264"/>
      <c r="T171" s="264"/>
      <c r="U171" s="65" t="s">
        <v>666</v>
      </c>
      <c r="V171" s="50"/>
      <c r="W171" s="50"/>
      <c r="X171" s="117" t="s">
        <v>2</v>
      </c>
      <c r="Y171" s="118">
        <v>10</v>
      </c>
      <c r="Z171" s="62"/>
      <c r="AA171" s="79"/>
      <c r="AB171" s="80"/>
      <c r="AC171" s="118">
        <f>Y171*Z171*AB171</f>
        <v>0</v>
      </c>
      <c r="AD171" s="250"/>
      <c r="AE171" s="251"/>
      <c r="AF171" s="103"/>
      <c r="AG171" s="266"/>
      <c r="AH171" s="103"/>
      <c r="AI171" s="260"/>
      <c r="AJ171" s="254"/>
      <c r="AK171" s="103"/>
    </row>
    <row r="172" spans="1:37" s="28" customFormat="1" ht="22.5" customHeight="1">
      <c r="A172" s="262"/>
      <c r="B172" s="263"/>
      <c r="C172" s="119"/>
      <c r="D172" s="258"/>
      <c r="E172" s="258"/>
      <c r="F172" s="258"/>
      <c r="G172" s="258"/>
      <c r="H172" s="250"/>
      <c r="I172" s="256"/>
      <c r="J172" s="268"/>
      <c r="K172" s="268"/>
      <c r="L172" s="119"/>
      <c r="M172" s="269"/>
      <c r="N172" s="264"/>
      <c r="O172" s="264"/>
      <c r="P172" s="264"/>
      <c r="Q172" s="264"/>
      <c r="R172" s="264"/>
      <c r="S172" s="264"/>
      <c r="T172" s="264"/>
      <c r="U172" s="67" t="s">
        <v>424</v>
      </c>
      <c r="V172" s="50"/>
      <c r="W172" s="50"/>
      <c r="X172" s="117" t="s">
        <v>2</v>
      </c>
      <c r="Y172" s="118">
        <v>10</v>
      </c>
      <c r="Z172" s="62">
        <v>95000</v>
      </c>
      <c r="AA172" s="79"/>
      <c r="AB172" s="80">
        <v>0</v>
      </c>
      <c r="AC172" s="118">
        <f>Y172*Z172*AB172</f>
        <v>0</v>
      </c>
      <c r="AD172" s="250"/>
      <c r="AE172" s="251"/>
      <c r="AF172" s="103"/>
      <c r="AG172" s="266"/>
      <c r="AH172" s="103"/>
      <c r="AI172" s="260"/>
      <c r="AJ172" s="254"/>
      <c r="AK172" s="103"/>
    </row>
    <row r="173" spans="1:37" s="28" customFormat="1" ht="32.25" customHeight="1">
      <c r="A173" s="262"/>
      <c r="B173" s="263"/>
      <c r="C173" s="119"/>
      <c r="D173" s="258"/>
      <c r="E173" s="258"/>
      <c r="F173" s="258"/>
      <c r="G173" s="258"/>
      <c r="H173" s="250"/>
      <c r="I173" s="256"/>
      <c r="J173" s="268"/>
      <c r="K173" s="268"/>
      <c r="L173" s="119"/>
      <c r="M173" s="269"/>
      <c r="N173" s="264"/>
      <c r="O173" s="264"/>
      <c r="P173" s="264"/>
      <c r="Q173" s="264"/>
      <c r="R173" s="264"/>
      <c r="S173" s="264"/>
      <c r="T173" s="264"/>
      <c r="U173" s="65" t="s">
        <v>667</v>
      </c>
      <c r="V173" s="50">
        <v>20</v>
      </c>
      <c r="W173" s="50">
        <f>0.3*J167/V173</f>
        <v>2.7</v>
      </c>
      <c r="X173" s="117" t="s">
        <v>2</v>
      </c>
      <c r="Y173" s="118">
        <v>1</v>
      </c>
      <c r="Z173" s="62"/>
      <c r="AA173" s="79"/>
      <c r="AB173" s="80"/>
      <c r="AC173" s="118">
        <f>Y173*Z173*AB173</f>
        <v>0</v>
      </c>
      <c r="AD173" s="250"/>
      <c r="AE173" s="251"/>
      <c r="AF173" s="103"/>
      <c r="AG173" s="266"/>
      <c r="AH173" s="103" t="s">
        <v>668</v>
      </c>
      <c r="AI173" s="260"/>
      <c r="AJ173" s="254"/>
      <c r="AK173" s="103"/>
    </row>
    <row r="174" spans="1:37" s="28" customFormat="1" ht="26.25" customHeight="1">
      <c r="A174" s="262"/>
      <c r="B174" s="263"/>
      <c r="C174" s="119"/>
      <c r="D174" s="258"/>
      <c r="E174" s="258"/>
      <c r="F174" s="258"/>
      <c r="G174" s="258"/>
      <c r="H174" s="250"/>
      <c r="I174" s="256"/>
      <c r="J174" s="268"/>
      <c r="K174" s="268"/>
      <c r="L174" s="119"/>
      <c r="M174" s="269"/>
      <c r="N174" s="264"/>
      <c r="O174" s="264"/>
      <c r="P174" s="264"/>
      <c r="Q174" s="264"/>
      <c r="R174" s="264"/>
      <c r="S174" s="264"/>
      <c r="T174" s="264"/>
      <c r="U174" s="67" t="s">
        <v>669</v>
      </c>
      <c r="V174" s="50"/>
      <c r="W174" s="50"/>
      <c r="X174" s="117" t="s">
        <v>2</v>
      </c>
      <c r="Y174" s="118">
        <v>1</v>
      </c>
      <c r="Z174" s="62">
        <v>3000000</v>
      </c>
      <c r="AA174" s="79"/>
      <c r="AB174" s="80">
        <v>0.3</v>
      </c>
      <c r="AC174" s="118">
        <f>Y174*Z174*AB174</f>
        <v>900000</v>
      </c>
      <c r="AD174" s="250"/>
      <c r="AE174" s="251"/>
      <c r="AF174" s="103"/>
      <c r="AG174" s="266"/>
      <c r="AH174" s="103"/>
      <c r="AI174" s="260"/>
      <c r="AJ174" s="254"/>
      <c r="AK174" s="103"/>
    </row>
    <row r="175" spans="1:37" s="28" customFormat="1" ht="56.25" customHeight="1">
      <c r="A175" s="262"/>
      <c r="B175" s="263"/>
      <c r="C175" s="119"/>
      <c r="D175" s="258"/>
      <c r="E175" s="258"/>
      <c r="F175" s="258"/>
      <c r="G175" s="258"/>
      <c r="H175" s="250"/>
      <c r="I175" s="256"/>
      <c r="J175" s="268"/>
      <c r="K175" s="268"/>
      <c r="L175" s="119"/>
      <c r="M175" s="269"/>
      <c r="N175" s="264"/>
      <c r="O175" s="264"/>
      <c r="P175" s="264"/>
      <c r="Q175" s="264"/>
      <c r="R175" s="264"/>
      <c r="S175" s="264"/>
      <c r="T175" s="264"/>
      <c r="U175" s="120" t="s">
        <v>670</v>
      </c>
      <c r="V175" s="117"/>
      <c r="W175" s="117"/>
      <c r="X175" s="117" t="s">
        <v>6</v>
      </c>
      <c r="Y175" s="114">
        <v>76</v>
      </c>
      <c r="Z175" s="123"/>
      <c r="AA175" s="79"/>
      <c r="AB175" s="80">
        <v>0</v>
      </c>
      <c r="AC175" s="118">
        <f t="shared" ref="AC175:AC178" si="28">Y175*Z175*AB175/100</f>
        <v>0</v>
      </c>
      <c r="AD175" s="250"/>
      <c r="AE175" s="251"/>
      <c r="AF175" s="103"/>
      <c r="AG175" s="266"/>
      <c r="AH175" s="103"/>
      <c r="AI175" s="260"/>
      <c r="AJ175" s="254"/>
      <c r="AK175" s="103"/>
    </row>
    <row r="176" spans="1:37" s="28" customFormat="1" ht="31.5" customHeight="1">
      <c r="A176" s="262"/>
      <c r="B176" s="263"/>
      <c r="C176" s="119"/>
      <c r="D176" s="258"/>
      <c r="E176" s="258"/>
      <c r="F176" s="258"/>
      <c r="G176" s="258"/>
      <c r="H176" s="250"/>
      <c r="I176" s="256"/>
      <c r="J176" s="268"/>
      <c r="K176" s="268"/>
      <c r="L176" s="119"/>
      <c r="M176" s="269"/>
      <c r="N176" s="264"/>
      <c r="O176" s="264"/>
      <c r="P176" s="264"/>
      <c r="Q176" s="264"/>
      <c r="R176" s="264"/>
      <c r="S176" s="264"/>
      <c r="T176" s="264"/>
      <c r="U176" s="124" t="s">
        <v>671</v>
      </c>
      <c r="V176" s="117"/>
      <c r="W176" s="117"/>
      <c r="X176" s="41" t="s">
        <v>8</v>
      </c>
      <c r="Y176" s="114">
        <v>0.64</v>
      </c>
      <c r="Z176" s="123"/>
      <c r="AA176" s="79"/>
      <c r="AB176" s="80">
        <v>0</v>
      </c>
      <c r="AC176" s="118">
        <f t="shared" si="28"/>
        <v>0</v>
      </c>
      <c r="AD176" s="250"/>
      <c r="AE176" s="251"/>
      <c r="AF176" s="103"/>
      <c r="AG176" s="266"/>
      <c r="AH176" s="103"/>
      <c r="AI176" s="260"/>
      <c r="AJ176" s="254"/>
      <c r="AK176" s="103"/>
    </row>
    <row r="177" spans="1:37" s="28" customFormat="1" ht="21" customHeight="1">
      <c r="A177" s="262"/>
      <c r="B177" s="263"/>
      <c r="C177" s="119"/>
      <c r="D177" s="258"/>
      <c r="E177" s="258"/>
      <c r="F177" s="258"/>
      <c r="G177" s="258"/>
      <c r="H177" s="250"/>
      <c r="I177" s="256"/>
      <c r="J177" s="268"/>
      <c r="K177" s="268"/>
      <c r="L177" s="119"/>
      <c r="M177" s="269"/>
      <c r="N177" s="264"/>
      <c r="O177" s="264"/>
      <c r="P177" s="264"/>
      <c r="Q177" s="264"/>
      <c r="R177" s="264"/>
      <c r="S177" s="264"/>
      <c r="T177" s="264"/>
      <c r="U177" s="124" t="s">
        <v>672</v>
      </c>
      <c r="V177" s="117"/>
      <c r="W177" s="117"/>
      <c r="X177" s="117" t="s">
        <v>6</v>
      </c>
      <c r="Y177" s="114">
        <v>37</v>
      </c>
      <c r="Z177" s="123"/>
      <c r="AA177" s="79"/>
      <c r="AB177" s="80">
        <v>0</v>
      </c>
      <c r="AC177" s="118"/>
      <c r="AD177" s="250"/>
      <c r="AE177" s="251"/>
      <c r="AF177" s="103"/>
      <c r="AG177" s="266"/>
      <c r="AH177" s="103"/>
      <c r="AI177" s="260"/>
      <c r="AJ177" s="254"/>
      <c r="AK177" s="103"/>
    </row>
    <row r="178" spans="1:37" s="28" customFormat="1" ht="55.5" customHeight="1">
      <c r="A178" s="262"/>
      <c r="B178" s="263"/>
      <c r="C178" s="117" t="s">
        <v>33</v>
      </c>
      <c r="D178" s="258"/>
      <c r="E178" s="258"/>
      <c r="F178" s="258"/>
      <c r="G178" s="258"/>
      <c r="H178" s="250"/>
      <c r="I178" s="256"/>
      <c r="J178" s="268"/>
      <c r="K178" s="268"/>
      <c r="L178" s="117"/>
      <c r="M178" s="269"/>
      <c r="N178" s="264"/>
      <c r="O178" s="264"/>
      <c r="P178" s="264"/>
      <c r="Q178" s="264"/>
      <c r="R178" s="264"/>
      <c r="S178" s="264"/>
      <c r="T178" s="264"/>
      <c r="U178" s="124" t="s">
        <v>673</v>
      </c>
      <c r="V178" s="117"/>
      <c r="W178" s="117"/>
      <c r="X178" s="117" t="s">
        <v>6</v>
      </c>
      <c r="Y178" s="114">
        <v>6</v>
      </c>
      <c r="Z178" s="123"/>
      <c r="AA178" s="79"/>
      <c r="AB178" s="80">
        <v>0</v>
      </c>
      <c r="AC178" s="118">
        <f t="shared" si="28"/>
        <v>0</v>
      </c>
      <c r="AD178" s="250"/>
      <c r="AE178" s="251"/>
      <c r="AF178" s="103"/>
      <c r="AG178" s="267"/>
      <c r="AH178" s="103"/>
      <c r="AI178" s="261"/>
      <c r="AJ178" s="255"/>
      <c r="AK178" s="103"/>
    </row>
    <row r="179" spans="1:37" s="28" customFormat="1" ht="39" customHeight="1">
      <c r="A179" s="262">
        <v>23</v>
      </c>
      <c r="B179" s="263" t="s">
        <v>674</v>
      </c>
      <c r="C179" s="258" t="s">
        <v>39</v>
      </c>
      <c r="D179" s="258">
        <v>64</v>
      </c>
      <c r="E179" s="258">
        <v>486</v>
      </c>
      <c r="F179" s="258">
        <v>1093.3</v>
      </c>
      <c r="G179" s="258" t="s">
        <v>28</v>
      </c>
      <c r="H179" s="256">
        <v>1093.5</v>
      </c>
      <c r="I179" s="256">
        <f>F179-H179</f>
        <v>-0.20000000000004547</v>
      </c>
      <c r="J179" s="257">
        <v>1093.3</v>
      </c>
      <c r="K179" s="251">
        <v>1800</v>
      </c>
      <c r="L179" s="258"/>
      <c r="M179" s="258">
        <f>J179/K179*100</f>
        <v>60.738888888888887</v>
      </c>
      <c r="N179" s="250">
        <v>6</v>
      </c>
      <c r="O179" s="250">
        <v>4</v>
      </c>
      <c r="P179" s="250">
        <v>80000</v>
      </c>
      <c r="Q179" s="250">
        <f>P179*J179</f>
        <v>87464000</v>
      </c>
      <c r="R179" s="250">
        <f>Q179*3</f>
        <v>262392000</v>
      </c>
      <c r="S179" s="250">
        <f>N179*O179*17000*30</f>
        <v>12240000</v>
      </c>
      <c r="T179" s="250">
        <f>SUM(Q179:S190)</f>
        <v>362096000</v>
      </c>
      <c r="U179" s="65" t="s">
        <v>457</v>
      </c>
      <c r="V179" s="50">
        <v>25</v>
      </c>
      <c r="W179" s="50">
        <f>J179/V179</f>
        <v>43.731999999999999</v>
      </c>
      <c r="X179" s="117" t="s">
        <v>2</v>
      </c>
      <c r="Y179" s="118">
        <v>15</v>
      </c>
      <c r="Z179" s="62"/>
      <c r="AA179" s="79"/>
      <c r="AB179" s="80"/>
      <c r="AC179" s="118">
        <f t="shared" ref="AC179:AC190" si="29">Y179*Z179*AB179</f>
        <v>0</v>
      </c>
      <c r="AD179" s="250">
        <f>SUM(AC179:AC190)</f>
        <v>180100000</v>
      </c>
      <c r="AE179" s="251">
        <f>T179+AD179</f>
        <v>542196000</v>
      </c>
      <c r="AF179" s="104">
        <f>Y179*25</f>
        <v>375</v>
      </c>
      <c r="AG179" s="103" t="s">
        <v>513</v>
      </c>
      <c r="AH179" s="103"/>
      <c r="AI179" s="252" t="s">
        <v>675</v>
      </c>
      <c r="AJ179" s="253" t="s">
        <v>681</v>
      </c>
      <c r="AK179" s="103"/>
    </row>
    <row r="180" spans="1:37" s="28" customFormat="1" ht="21" customHeight="1">
      <c r="A180" s="262"/>
      <c r="B180" s="263"/>
      <c r="C180" s="258"/>
      <c r="D180" s="258"/>
      <c r="E180" s="258"/>
      <c r="F180" s="258"/>
      <c r="G180" s="258"/>
      <c r="H180" s="256"/>
      <c r="I180" s="256"/>
      <c r="J180" s="257"/>
      <c r="K180" s="251"/>
      <c r="L180" s="258"/>
      <c r="M180" s="258"/>
      <c r="N180" s="250"/>
      <c r="O180" s="250"/>
      <c r="P180" s="250"/>
      <c r="Q180" s="250"/>
      <c r="R180" s="250"/>
      <c r="S180" s="250"/>
      <c r="T180" s="250"/>
      <c r="U180" s="67" t="s">
        <v>421</v>
      </c>
      <c r="V180" s="50"/>
      <c r="W180" s="50"/>
      <c r="X180" s="117" t="s">
        <v>2</v>
      </c>
      <c r="Y180" s="118">
        <v>15</v>
      </c>
      <c r="Z180" s="62">
        <v>4500000</v>
      </c>
      <c r="AA180" s="79"/>
      <c r="AB180" s="80">
        <v>1</v>
      </c>
      <c r="AC180" s="118">
        <f t="shared" si="29"/>
        <v>67500000</v>
      </c>
      <c r="AD180" s="250"/>
      <c r="AE180" s="251"/>
      <c r="AF180" s="104"/>
      <c r="AG180" s="103"/>
      <c r="AH180" s="103"/>
      <c r="AI180" s="252"/>
      <c r="AJ180" s="254"/>
      <c r="AK180" s="103"/>
    </row>
    <row r="181" spans="1:37" s="28" customFormat="1" ht="33" customHeight="1">
      <c r="A181" s="262"/>
      <c r="B181" s="263"/>
      <c r="C181" s="258"/>
      <c r="D181" s="258"/>
      <c r="E181" s="258"/>
      <c r="F181" s="258"/>
      <c r="G181" s="258"/>
      <c r="H181" s="256"/>
      <c r="I181" s="256"/>
      <c r="J181" s="257"/>
      <c r="K181" s="251"/>
      <c r="L181" s="258"/>
      <c r="M181" s="258"/>
      <c r="N181" s="250"/>
      <c r="O181" s="250"/>
      <c r="P181" s="250"/>
      <c r="Q181" s="250"/>
      <c r="R181" s="250"/>
      <c r="S181" s="250"/>
      <c r="T181" s="250"/>
      <c r="U181" s="65" t="s">
        <v>453</v>
      </c>
      <c r="V181" s="50"/>
      <c r="W181" s="50"/>
      <c r="X181" s="117" t="s">
        <v>2</v>
      </c>
      <c r="Y181" s="118">
        <v>22</v>
      </c>
      <c r="Z181" s="62"/>
      <c r="AA181" s="79"/>
      <c r="AB181" s="80"/>
      <c r="AC181" s="118">
        <f t="shared" si="29"/>
        <v>0</v>
      </c>
      <c r="AD181" s="250"/>
      <c r="AE181" s="251"/>
      <c r="AF181" s="104">
        <f t="shared" ref="AF181:AF183" si="30">Y181*25</f>
        <v>550</v>
      </c>
      <c r="AG181" s="103"/>
      <c r="AH181" s="103"/>
      <c r="AI181" s="252"/>
      <c r="AJ181" s="254"/>
      <c r="AK181" s="103"/>
    </row>
    <row r="182" spans="1:37" s="28" customFormat="1" ht="30" customHeight="1">
      <c r="A182" s="262"/>
      <c r="B182" s="263"/>
      <c r="C182" s="258"/>
      <c r="D182" s="258"/>
      <c r="E182" s="258"/>
      <c r="F182" s="258"/>
      <c r="G182" s="258"/>
      <c r="H182" s="256"/>
      <c r="I182" s="256"/>
      <c r="J182" s="257"/>
      <c r="K182" s="251"/>
      <c r="L182" s="258"/>
      <c r="M182" s="258"/>
      <c r="N182" s="250"/>
      <c r="O182" s="250"/>
      <c r="P182" s="250"/>
      <c r="Q182" s="250"/>
      <c r="R182" s="250"/>
      <c r="S182" s="250"/>
      <c r="T182" s="250"/>
      <c r="U182" s="67" t="s">
        <v>421</v>
      </c>
      <c r="V182" s="50"/>
      <c r="W182" s="50"/>
      <c r="X182" s="117" t="s">
        <v>2</v>
      </c>
      <c r="Y182" s="118">
        <v>22</v>
      </c>
      <c r="Z182" s="62">
        <v>3850000</v>
      </c>
      <c r="AA182" s="79"/>
      <c r="AB182" s="80">
        <v>1</v>
      </c>
      <c r="AC182" s="118">
        <f t="shared" si="29"/>
        <v>84700000</v>
      </c>
      <c r="AD182" s="250"/>
      <c r="AE182" s="251"/>
      <c r="AF182" s="104"/>
      <c r="AG182" s="103"/>
      <c r="AH182" s="103"/>
      <c r="AI182" s="252"/>
      <c r="AJ182" s="254"/>
      <c r="AK182" s="103"/>
    </row>
    <row r="183" spans="1:37" s="28" customFormat="1" ht="55.5" customHeight="1">
      <c r="A183" s="262"/>
      <c r="B183" s="263"/>
      <c r="C183" s="258"/>
      <c r="D183" s="258"/>
      <c r="E183" s="258"/>
      <c r="F183" s="258"/>
      <c r="G183" s="258"/>
      <c r="H183" s="256"/>
      <c r="I183" s="256"/>
      <c r="J183" s="257"/>
      <c r="K183" s="251"/>
      <c r="L183" s="258"/>
      <c r="M183" s="258"/>
      <c r="N183" s="250"/>
      <c r="O183" s="250"/>
      <c r="P183" s="250"/>
      <c r="Q183" s="250"/>
      <c r="R183" s="250"/>
      <c r="S183" s="250"/>
      <c r="T183" s="250"/>
      <c r="U183" s="65" t="s">
        <v>676</v>
      </c>
      <c r="V183" s="50"/>
      <c r="W183" s="50"/>
      <c r="X183" s="117" t="s">
        <v>2</v>
      </c>
      <c r="Y183" s="118">
        <v>7</v>
      </c>
      <c r="Z183" s="62"/>
      <c r="AA183" s="79"/>
      <c r="AB183" s="80"/>
      <c r="AC183" s="118">
        <f t="shared" si="29"/>
        <v>0</v>
      </c>
      <c r="AD183" s="250"/>
      <c r="AE183" s="251"/>
      <c r="AF183" s="104">
        <f t="shared" si="30"/>
        <v>175</v>
      </c>
      <c r="AG183" s="103"/>
      <c r="AH183" s="103"/>
      <c r="AI183" s="252"/>
      <c r="AJ183" s="254"/>
      <c r="AK183" s="103"/>
    </row>
    <row r="184" spans="1:37" s="28" customFormat="1" ht="32.25" customHeight="1">
      <c r="A184" s="262"/>
      <c r="B184" s="263"/>
      <c r="C184" s="258"/>
      <c r="D184" s="258"/>
      <c r="E184" s="258"/>
      <c r="F184" s="258"/>
      <c r="G184" s="258"/>
      <c r="H184" s="256"/>
      <c r="I184" s="256"/>
      <c r="J184" s="257"/>
      <c r="K184" s="251"/>
      <c r="L184" s="258"/>
      <c r="M184" s="258"/>
      <c r="N184" s="250"/>
      <c r="O184" s="250"/>
      <c r="P184" s="250"/>
      <c r="Q184" s="250"/>
      <c r="R184" s="250"/>
      <c r="S184" s="250"/>
      <c r="T184" s="250"/>
      <c r="U184" s="67" t="s">
        <v>421</v>
      </c>
      <c r="V184" s="50"/>
      <c r="W184" s="50"/>
      <c r="X184" s="117" t="s">
        <v>2</v>
      </c>
      <c r="Y184" s="118">
        <v>7</v>
      </c>
      <c r="Z184" s="62">
        <v>2700000</v>
      </c>
      <c r="AA184" s="79"/>
      <c r="AB184" s="80">
        <v>1</v>
      </c>
      <c r="AC184" s="118">
        <f t="shared" si="29"/>
        <v>18900000</v>
      </c>
      <c r="AD184" s="250"/>
      <c r="AE184" s="251"/>
      <c r="AF184" s="104"/>
      <c r="AG184" s="103"/>
      <c r="AH184" s="103"/>
      <c r="AI184" s="252"/>
      <c r="AJ184" s="254"/>
      <c r="AK184" s="103"/>
    </row>
    <row r="185" spans="1:37" s="28" customFormat="1" ht="55.5" customHeight="1">
      <c r="A185" s="262"/>
      <c r="B185" s="263"/>
      <c r="C185" s="258"/>
      <c r="D185" s="258"/>
      <c r="E185" s="258"/>
      <c r="F185" s="258"/>
      <c r="G185" s="258"/>
      <c r="H185" s="256"/>
      <c r="I185" s="256"/>
      <c r="J185" s="257"/>
      <c r="K185" s="251"/>
      <c r="L185" s="258"/>
      <c r="M185" s="258"/>
      <c r="N185" s="250"/>
      <c r="O185" s="250"/>
      <c r="P185" s="250"/>
      <c r="Q185" s="250"/>
      <c r="R185" s="250"/>
      <c r="S185" s="250"/>
      <c r="T185" s="250"/>
      <c r="U185" s="65" t="s">
        <v>459</v>
      </c>
      <c r="V185" s="50">
        <v>20</v>
      </c>
      <c r="W185" s="50">
        <f>J179/V185</f>
        <v>54.664999999999999</v>
      </c>
      <c r="X185" s="117" t="s">
        <v>2</v>
      </c>
      <c r="Y185" s="118">
        <v>12</v>
      </c>
      <c r="Z185" s="62"/>
      <c r="AA185" s="79"/>
      <c r="AB185" s="80"/>
      <c r="AC185" s="118">
        <f t="shared" si="29"/>
        <v>0</v>
      </c>
      <c r="AD185" s="250"/>
      <c r="AE185" s="251"/>
      <c r="AF185" s="104"/>
      <c r="AG185" s="103"/>
      <c r="AH185" s="103"/>
      <c r="AI185" s="252"/>
      <c r="AJ185" s="254"/>
      <c r="AK185" s="103"/>
    </row>
    <row r="186" spans="1:37" s="28" customFormat="1" ht="31.5" customHeight="1">
      <c r="A186" s="262"/>
      <c r="B186" s="263"/>
      <c r="C186" s="258"/>
      <c r="D186" s="258"/>
      <c r="E186" s="258"/>
      <c r="F186" s="258"/>
      <c r="G186" s="258"/>
      <c r="H186" s="256"/>
      <c r="I186" s="256"/>
      <c r="J186" s="257"/>
      <c r="K186" s="251"/>
      <c r="L186" s="258"/>
      <c r="M186" s="258"/>
      <c r="N186" s="250"/>
      <c r="O186" s="250"/>
      <c r="P186" s="250"/>
      <c r="Q186" s="250"/>
      <c r="R186" s="250"/>
      <c r="S186" s="250"/>
      <c r="T186" s="250"/>
      <c r="U186" s="67" t="s">
        <v>421</v>
      </c>
      <c r="V186" s="50"/>
      <c r="W186" s="50"/>
      <c r="X186" s="117" t="s">
        <v>2</v>
      </c>
      <c r="Y186" s="118">
        <v>12</v>
      </c>
      <c r="Z186" s="62">
        <v>2500000</v>
      </c>
      <c r="AA186" s="79"/>
      <c r="AB186" s="80">
        <v>0.3</v>
      </c>
      <c r="AC186" s="118">
        <f t="shared" si="29"/>
        <v>9000000</v>
      </c>
      <c r="AD186" s="250"/>
      <c r="AE186" s="251"/>
      <c r="AF186" s="104"/>
      <c r="AG186" s="103"/>
      <c r="AH186" s="103"/>
      <c r="AI186" s="252"/>
      <c r="AJ186" s="254"/>
      <c r="AK186" s="103"/>
    </row>
    <row r="187" spans="1:37" s="28" customFormat="1" ht="55.5" customHeight="1">
      <c r="A187" s="262"/>
      <c r="B187" s="263"/>
      <c r="C187" s="258"/>
      <c r="D187" s="258"/>
      <c r="E187" s="258"/>
      <c r="F187" s="258"/>
      <c r="G187" s="258"/>
      <c r="H187" s="256"/>
      <c r="I187" s="256"/>
      <c r="J187" s="257"/>
      <c r="K187" s="251"/>
      <c r="L187" s="258"/>
      <c r="M187" s="258"/>
      <c r="N187" s="250"/>
      <c r="O187" s="250"/>
      <c r="P187" s="250"/>
      <c r="Q187" s="250"/>
      <c r="R187" s="250"/>
      <c r="S187" s="250"/>
      <c r="T187" s="250"/>
      <c r="U187" s="65" t="s">
        <v>677</v>
      </c>
      <c r="V187" s="50">
        <v>10</v>
      </c>
      <c r="W187" s="50">
        <f>J179/V187</f>
        <v>109.33</v>
      </c>
      <c r="X187" s="117" t="s">
        <v>2</v>
      </c>
      <c r="Y187" s="118">
        <v>20</v>
      </c>
      <c r="Z187" s="123">
        <v>95000</v>
      </c>
      <c r="AA187" s="79"/>
      <c r="AB187" s="80">
        <v>0</v>
      </c>
      <c r="AC187" s="118">
        <f t="shared" si="29"/>
        <v>0</v>
      </c>
      <c r="AD187" s="250"/>
      <c r="AE187" s="251"/>
      <c r="AF187" s="104"/>
      <c r="AG187" s="103" t="s">
        <v>678</v>
      </c>
      <c r="AH187" s="103"/>
      <c r="AI187" s="252"/>
      <c r="AJ187" s="254"/>
      <c r="AK187" s="103"/>
    </row>
    <row r="188" spans="1:37" s="28" customFormat="1" ht="23.25" customHeight="1">
      <c r="A188" s="262"/>
      <c r="B188" s="263"/>
      <c r="C188" s="258"/>
      <c r="D188" s="258"/>
      <c r="E188" s="258"/>
      <c r="F188" s="258"/>
      <c r="G188" s="258"/>
      <c r="H188" s="256"/>
      <c r="I188" s="256"/>
      <c r="J188" s="257"/>
      <c r="K188" s="251"/>
      <c r="L188" s="258"/>
      <c r="M188" s="258"/>
      <c r="N188" s="250"/>
      <c r="O188" s="250"/>
      <c r="P188" s="250"/>
      <c r="Q188" s="250"/>
      <c r="R188" s="250"/>
      <c r="S188" s="250"/>
      <c r="T188" s="250"/>
      <c r="U188" s="124" t="s">
        <v>525</v>
      </c>
      <c r="V188" s="117"/>
      <c r="W188" s="117"/>
      <c r="X188" s="117" t="s">
        <v>399</v>
      </c>
      <c r="Y188" s="118">
        <v>1</v>
      </c>
      <c r="Z188" s="62"/>
      <c r="AA188" s="79"/>
      <c r="AB188" s="80">
        <v>0</v>
      </c>
      <c r="AC188" s="118">
        <f t="shared" si="29"/>
        <v>0</v>
      </c>
      <c r="AD188" s="250"/>
      <c r="AE188" s="251"/>
      <c r="AF188" s="104"/>
      <c r="AG188" s="103"/>
      <c r="AH188" s="103"/>
      <c r="AI188" s="252"/>
      <c r="AJ188" s="254"/>
      <c r="AK188" s="103"/>
    </row>
    <row r="189" spans="1:37" s="28" customFormat="1" ht="39.75" customHeight="1">
      <c r="A189" s="262"/>
      <c r="B189" s="263"/>
      <c r="C189" s="258"/>
      <c r="D189" s="258"/>
      <c r="E189" s="258"/>
      <c r="F189" s="258"/>
      <c r="G189" s="258"/>
      <c r="H189" s="256"/>
      <c r="I189" s="256"/>
      <c r="J189" s="257"/>
      <c r="K189" s="251"/>
      <c r="L189" s="258"/>
      <c r="M189" s="258"/>
      <c r="N189" s="250"/>
      <c r="O189" s="250"/>
      <c r="P189" s="250"/>
      <c r="Q189" s="250"/>
      <c r="R189" s="250"/>
      <c r="S189" s="250"/>
      <c r="T189" s="250"/>
      <c r="U189" s="124" t="s">
        <v>679</v>
      </c>
      <c r="V189" s="117"/>
      <c r="W189" s="117"/>
      <c r="X189" s="41" t="s">
        <v>8</v>
      </c>
      <c r="Y189" s="114">
        <v>1.2</v>
      </c>
      <c r="Z189" s="123"/>
      <c r="AA189" s="79"/>
      <c r="AB189" s="80">
        <v>0</v>
      </c>
      <c r="AC189" s="118">
        <f t="shared" si="29"/>
        <v>0</v>
      </c>
      <c r="AD189" s="250"/>
      <c r="AE189" s="251"/>
      <c r="AF189" s="104"/>
      <c r="AG189" s="103"/>
      <c r="AH189" s="103"/>
      <c r="AI189" s="252"/>
      <c r="AJ189" s="254"/>
      <c r="AK189" s="103"/>
    </row>
    <row r="190" spans="1:37" s="28" customFormat="1" ht="23.25" customHeight="1">
      <c r="A190" s="262"/>
      <c r="B190" s="263"/>
      <c r="C190" s="258"/>
      <c r="D190" s="258"/>
      <c r="E190" s="258"/>
      <c r="F190" s="258"/>
      <c r="G190" s="258"/>
      <c r="H190" s="256"/>
      <c r="I190" s="256"/>
      <c r="J190" s="257"/>
      <c r="K190" s="251"/>
      <c r="L190" s="258"/>
      <c r="M190" s="258"/>
      <c r="N190" s="250"/>
      <c r="O190" s="250"/>
      <c r="P190" s="250"/>
      <c r="Q190" s="250"/>
      <c r="R190" s="250"/>
      <c r="S190" s="250"/>
      <c r="T190" s="250"/>
      <c r="U190" s="120" t="s">
        <v>680</v>
      </c>
      <c r="V190" s="119"/>
      <c r="W190" s="119"/>
      <c r="X190" s="117" t="s">
        <v>6</v>
      </c>
      <c r="Y190" s="114">
        <v>4</v>
      </c>
      <c r="Z190" s="123"/>
      <c r="AA190" s="79"/>
      <c r="AB190" s="80">
        <v>0</v>
      </c>
      <c r="AC190" s="118">
        <f t="shared" si="29"/>
        <v>0</v>
      </c>
      <c r="AD190" s="250"/>
      <c r="AE190" s="251"/>
      <c r="AF190" s="105"/>
      <c r="AG190" s="103"/>
      <c r="AH190" s="103"/>
      <c r="AI190" s="252"/>
      <c r="AJ190" s="255"/>
      <c r="AK190" s="103"/>
    </row>
    <row r="191" spans="1:37" ht="38.25" customHeight="1">
      <c r="A191" s="125"/>
      <c r="B191" s="125" t="s">
        <v>617</v>
      </c>
      <c r="C191" s="34"/>
      <c r="D191" s="34"/>
      <c r="E191" s="34"/>
      <c r="F191" s="93">
        <f>SUM(F9:F190)</f>
        <v>16503.8</v>
      </c>
      <c r="G191" s="93"/>
      <c r="H191" s="93">
        <f>SUM(H9:H190)</f>
        <v>16599.400000000001</v>
      </c>
      <c r="I191" s="93">
        <f>SUM(I9:I190)</f>
        <v>-95.600000000000421</v>
      </c>
      <c r="J191" s="115">
        <f>SUM(J9:J190)</f>
        <v>16599.2</v>
      </c>
      <c r="K191" s="93"/>
      <c r="L191" s="93">
        <f>SUM(L9:L190)</f>
        <v>2736</v>
      </c>
      <c r="M191" s="93"/>
      <c r="N191" s="93"/>
      <c r="O191" s="106">
        <f>SUM(O9:O190)</f>
        <v>117</v>
      </c>
      <c r="P191" s="93"/>
      <c r="Q191" s="116">
        <f>SUM(Q9:Q190)</f>
        <v>1327936000</v>
      </c>
      <c r="R191" s="116">
        <f>SUM(R9:R190)</f>
        <v>3983808000</v>
      </c>
      <c r="S191" s="116">
        <f>SUM(S9:S190)</f>
        <v>544170000</v>
      </c>
      <c r="T191" s="116">
        <f>SUM(T9:T190)</f>
        <v>5855914000</v>
      </c>
      <c r="U191" s="93"/>
      <c r="V191" s="93"/>
      <c r="W191" s="93"/>
      <c r="X191" s="93"/>
      <c r="Y191" s="93"/>
      <c r="Z191" s="93"/>
      <c r="AA191" s="93"/>
      <c r="AB191" s="93"/>
      <c r="AC191" s="93"/>
      <c r="AD191" s="116">
        <f t="shared" ref="AD191:AI191" si="31">SUM(AD9:AD190)</f>
        <v>2412450000</v>
      </c>
      <c r="AE191" s="116">
        <f t="shared" si="31"/>
        <v>8268364000</v>
      </c>
      <c r="AF191" s="93">
        <f t="shared" si="31"/>
        <v>2800</v>
      </c>
      <c r="AG191" s="93">
        <f t="shared" si="31"/>
        <v>0</v>
      </c>
      <c r="AH191" s="93">
        <f t="shared" si="31"/>
        <v>0</v>
      </c>
      <c r="AI191" s="93">
        <f t="shared" si="31"/>
        <v>0</v>
      </c>
    </row>
    <row r="193" spans="10:3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row>
    <row r="194" spans="10:31" hidden="1">
      <c r="Q194" s="107"/>
      <c r="R194" s="107"/>
    </row>
    <row r="195" spans="10:31" hidden="1"/>
    <row r="196" spans="10:31" hidden="1">
      <c r="Q196" s="107"/>
    </row>
    <row r="197" spans="10:31" hidden="1"/>
    <row r="198" spans="10:31">
      <c r="J198" s="112"/>
      <c r="AE198" s="132"/>
    </row>
    <row r="199" spans="10:31">
      <c r="AE199" s="132"/>
    </row>
    <row r="201" spans="10:31">
      <c r="Q201" s="107"/>
      <c r="R201" s="107"/>
    </row>
  </sheetData>
  <autoFilter ref="A7:AE191"/>
  <mergeCells count="449">
    <mergeCell ref="AD179:AD190"/>
    <mergeCell ref="AE179:AE190"/>
    <mergeCell ref="AI179:AI190"/>
    <mergeCell ref="AJ179:AJ190"/>
    <mergeCell ref="O179:O190"/>
    <mergeCell ref="P179:P190"/>
    <mergeCell ref="Q179:Q190"/>
    <mergeCell ref="R179:R190"/>
    <mergeCell ref="S179:S190"/>
    <mergeCell ref="T179:T190"/>
    <mergeCell ref="I179:I190"/>
    <mergeCell ref="J179:J190"/>
    <mergeCell ref="K179:K190"/>
    <mergeCell ref="L179:L190"/>
    <mergeCell ref="M179:M190"/>
    <mergeCell ref="N179:N190"/>
    <mergeCell ref="AI167:AI178"/>
    <mergeCell ref="AJ167:AJ178"/>
    <mergeCell ref="A179:A190"/>
    <mergeCell ref="B179:B190"/>
    <mergeCell ref="C179:C190"/>
    <mergeCell ref="D179:D190"/>
    <mergeCell ref="E179:E190"/>
    <mergeCell ref="F179:F190"/>
    <mergeCell ref="G179:G190"/>
    <mergeCell ref="H179:H190"/>
    <mergeCell ref="R167:R178"/>
    <mergeCell ref="S167:S178"/>
    <mergeCell ref="T167:T178"/>
    <mergeCell ref="AD167:AD178"/>
    <mergeCell ref="AE167:AE178"/>
    <mergeCell ref="AG167:AG178"/>
    <mergeCell ref="K167:K178"/>
    <mergeCell ref="M167:M178"/>
    <mergeCell ref="N167:N178"/>
    <mergeCell ref="O167:O178"/>
    <mergeCell ref="P167:P178"/>
    <mergeCell ref="Q167:Q178"/>
    <mergeCell ref="AE163:AE166"/>
    <mergeCell ref="A167:A178"/>
    <mergeCell ref="B167:B178"/>
    <mergeCell ref="D167:D178"/>
    <mergeCell ref="E167:E178"/>
    <mergeCell ref="F167:F178"/>
    <mergeCell ref="G167:G178"/>
    <mergeCell ref="H167:H178"/>
    <mergeCell ref="I167:I178"/>
    <mergeCell ref="J167:J178"/>
    <mergeCell ref="P163:P166"/>
    <mergeCell ref="Q163:Q166"/>
    <mergeCell ref="R163:R166"/>
    <mergeCell ref="S163:S166"/>
    <mergeCell ref="T163:T166"/>
    <mergeCell ref="AD163:AD165"/>
    <mergeCell ref="J163:J166"/>
    <mergeCell ref="K163:K166"/>
    <mergeCell ref="L163:L166"/>
    <mergeCell ref="M163:M166"/>
    <mergeCell ref="N163:N166"/>
    <mergeCell ref="O163:O166"/>
    <mergeCell ref="AE161:AE162"/>
    <mergeCell ref="A163:A166"/>
    <mergeCell ref="B163:B166"/>
    <mergeCell ref="C163:C165"/>
    <mergeCell ref="D163:D165"/>
    <mergeCell ref="E163:E165"/>
    <mergeCell ref="F163:F165"/>
    <mergeCell ref="G163:G165"/>
    <mergeCell ref="H163:H165"/>
    <mergeCell ref="I163:I165"/>
    <mergeCell ref="P161:P162"/>
    <mergeCell ref="Q161:Q162"/>
    <mergeCell ref="R161:R162"/>
    <mergeCell ref="S161:S162"/>
    <mergeCell ref="T161:T162"/>
    <mergeCell ref="AD161:AD162"/>
    <mergeCell ref="J161:J162"/>
    <mergeCell ref="K161:K162"/>
    <mergeCell ref="L161:L162"/>
    <mergeCell ref="M161:M162"/>
    <mergeCell ref="N161:N162"/>
    <mergeCell ref="O161:O162"/>
    <mergeCell ref="Q154:Q160"/>
    <mergeCell ref="R154:R160"/>
    <mergeCell ref="S154:S160"/>
    <mergeCell ref="T154:T160"/>
    <mergeCell ref="AD154:AD160"/>
    <mergeCell ref="J154:J160"/>
    <mergeCell ref="K154:K160"/>
    <mergeCell ref="L154:L160"/>
    <mergeCell ref="M154:M160"/>
    <mergeCell ref="N154:N160"/>
    <mergeCell ref="O154:O160"/>
    <mergeCell ref="A161:A162"/>
    <mergeCell ref="B161:B162"/>
    <mergeCell ref="C161:C162"/>
    <mergeCell ref="D161:D162"/>
    <mergeCell ref="E161:E162"/>
    <mergeCell ref="F161:F162"/>
    <mergeCell ref="G161:G162"/>
    <mergeCell ref="H161:H162"/>
    <mergeCell ref="I161:I162"/>
    <mergeCell ref="AE147:AE153"/>
    <mergeCell ref="A154:A160"/>
    <mergeCell ref="B154:B160"/>
    <mergeCell ref="C154:C160"/>
    <mergeCell ref="D154:D160"/>
    <mergeCell ref="E154:E160"/>
    <mergeCell ref="F154:F160"/>
    <mergeCell ref="G154:G160"/>
    <mergeCell ref="H154:H160"/>
    <mergeCell ref="I154:I160"/>
    <mergeCell ref="P147:P153"/>
    <mergeCell ref="Q147:Q153"/>
    <mergeCell ref="R147:R153"/>
    <mergeCell ref="S147:S153"/>
    <mergeCell ref="T147:T153"/>
    <mergeCell ref="AD147:AD153"/>
    <mergeCell ref="J147:J153"/>
    <mergeCell ref="K147:K153"/>
    <mergeCell ref="L147:L153"/>
    <mergeCell ref="M147:M153"/>
    <mergeCell ref="N147:N153"/>
    <mergeCell ref="O147:O153"/>
    <mergeCell ref="AE154:AE160"/>
    <mergeCell ref="P154:P160"/>
    <mergeCell ref="Q140:Q146"/>
    <mergeCell ref="R140:R146"/>
    <mergeCell ref="S140:S146"/>
    <mergeCell ref="T140:T146"/>
    <mergeCell ref="AD140:AD146"/>
    <mergeCell ref="J140:J146"/>
    <mergeCell ref="K140:K146"/>
    <mergeCell ref="L140:L146"/>
    <mergeCell ref="M140:M146"/>
    <mergeCell ref="N140:N146"/>
    <mergeCell ref="O140:O146"/>
    <mergeCell ref="A147:A153"/>
    <mergeCell ref="B147:B153"/>
    <mergeCell ref="C147:C153"/>
    <mergeCell ref="D147:D153"/>
    <mergeCell ref="E147:E153"/>
    <mergeCell ref="F147:F153"/>
    <mergeCell ref="G147:G153"/>
    <mergeCell ref="H147:H153"/>
    <mergeCell ref="I147:I153"/>
    <mergeCell ref="AE123:AE139"/>
    <mergeCell ref="A140:A146"/>
    <mergeCell ref="B140:B146"/>
    <mergeCell ref="C140:C146"/>
    <mergeCell ref="D140:D146"/>
    <mergeCell ref="E140:E146"/>
    <mergeCell ref="F140:F146"/>
    <mergeCell ref="G140:G146"/>
    <mergeCell ref="H140:H146"/>
    <mergeCell ref="I140:I146"/>
    <mergeCell ref="P123:P139"/>
    <mergeCell ref="Q123:Q139"/>
    <mergeCell ref="R123:R139"/>
    <mergeCell ref="S123:S139"/>
    <mergeCell ref="T123:T139"/>
    <mergeCell ref="AD123:AD139"/>
    <mergeCell ref="J123:J139"/>
    <mergeCell ref="K123:K139"/>
    <mergeCell ref="L123:L139"/>
    <mergeCell ref="M123:M139"/>
    <mergeCell ref="N123:N139"/>
    <mergeCell ref="O123:O139"/>
    <mergeCell ref="AE140:AE146"/>
    <mergeCell ref="P140:P146"/>
    <mergeCell ref="Q119:Q122"/>
    <mergeCell ref="R119:R122"/>
    <mergeCell ref="S119:S122"/>
    <mergeCell ref="T119:T122"/>
    <mergeCell ref="AD119:AD122"/>
    <mergeCell ref="J119:J122"/>
    <mergeCell ref="K119:K122"/>
    <mergeCell ref="L119:L122"/>
    <mergeCell ref="M119:M122"/>
    <mergeCell ref="N119:N122"/>
    <mergeCell ref="O119:O122"/>
    <mergeCell ref="A123:A139"/>
    <mergeCell ref="B123:B139"/>
    <mergeCell ref="C123:C139"/>
    <mergeCell ref="D123:D139"/>
    <mergeCell ref="E123:E139"/>
    <mergeCell ref="F123:F139"/>
    <mergeCell ref="G123:G139"/>
    <mergeCell ref="H123:H139"/>
    <mergeCell ref="I123:I139"/>
    <mergeCell ref="AE108:AE118"/>
    <mergeCell ref="A119:A122"/>
    <mergeCell ref="B119:B122"/>
    <mergeCell ref="C119:C122"/>
    <mergeCell ref="D119:D122"/>
    <mergeCell ref="E119:E122"/>
    <mergeCell ref="F119:F122"/>
    <mergeCell ref="G119:G122"/>
    <mergeCell ref="H119:H122"/>
    <mergeCell ref="I119:I122"/>
    <mergeCell ref="P108:P118"/>
    <mergeCell ref="Q108:Q118"/>
    <mergeCell ref="R108:R118"/>
    <mergeCell ref="S108:S118"/>
    <mergeCell ref="T108:T118"/>
    <mergeCell ref="AD108:AD118"/>
    <mergeCell ref="J108:J118"/>
    <mergeCell ref="K108:K118"/>
    <mergeCell ref="L108:L118"/>
    <mergeCell ref="M108:M118"/>
    <mergeCell ref="N108:N118"/>
    <mergeCell ref="O108:O118"/>
    <mergeCell ref="AE119:AE122"/>
    <mergeCell ref="P119:P122"/>
    <mergeCell ref="A108:A118"/>
    <mergeCell ref="B108:B118"/>
    <mergeCell ref="C108:C118"/>
    <mergeCell ref="D108:D118"/>
    <mergeCell ref="E108:E118"/>
    <mergeCell ref="F108:F118"/>
    <mergeCell ref="G108:G118"/>
    <mergeCell ref="H108:H118"/>
    <mergeCell ref="I108:I118"/>
    <mergeCell ref="AE86:AE107"/>
    <mergeCell ref="C97:C107"/>
    <mergeCell ref="D97:D107"/>
    <mergeCell ref="E97:E107"/>
    <mergeCell ref="F97:F107"/>
    <mergeCell ref="G97:G107"/>
    <mergeCell ref="H97:H107"/>
    <mergeCell ref="M86:M107"/>
    <mergeCell ref="N86:N107"/>
    <mergeCell ref="O86:O107"/>
    <mergeCell ref="P86:P107"/>
    <mergeCell ref="Q86:Q107"/>
    <mergeCell ref="R86:R107"/>
    <mergeCell ref="G86:G96"/>
    <mergeCell ref="H86:H96"/>
    <mergeCell ref="I86:I96"/>
    <mergeCell ref="J86:J107"/>
    <mergeCell ref="K86:K107"/>
    <mergeCell ref="L86:L107"/>
    <mergeCell ref="I97:I107"/>
    <mergeCell ref="AD97:AD107"/>
    <mergeCell ref="S86:S107"/>
    <mergeCell ref="T86:T107"/>
    <mergeCell ref="AD86:AD96"/>
    <mergeCell ref="A86:A107"/>
    <mergeCell ref="B86:B107"/>
    <mergeCell ref="C86:C96"/>
    <mergeCell ref="D86:D96"/>
    <mergeCell ref="E86:E96"/>
    <mergeCell ref="F86:F96"/>
    <mergeCell ref="M77:M85"/>
    <mergeCell ref="N77:N85"/>
    <mergeCell ref="O77:O85"/>
    <mergeCell ref="G77:G85"/>
    <mergeCell ref="H77:H85"/>
    <mergeCell ref="I77:I85"/>
    <mergeCell ref="J77:J85"/>
    <mergeCell ref="K77:K85"/>
    <mergeCell ref="L77:L85"/>
    <mergeCell ref="A77:A85"/>
    <mergeCell ref="B77:B85"/>
    <mergeCell ref="C77:C85"/>
    <mergeCell ref="D77:D85"/>
    <mergeCell ref="E77:E85"/>
    <mergeCell ref="F77:F85"/>
    <mergeCell ref="P77:P85"/>
    <mergeCell ref="Q77:Q85"/>
    <mergeCell ref="R77:R85"/>
    <mergeCell ref="AJ69:AJ75"/>
    <mergeCell ref="M69:M75"/>
    <mergeCell ref="N69:N75"/>
    <mergeCell ref="O69:O75"/>
    <mergeCell ref="P69:P75"/>
    <mergeCell ref="Q69:Q75"/>
    <mergeCell ref="R69:R75"/>
    <mergeCell ref="S69:S75"/>
    <mergeCell ref="T69:T75"/>
    <mergeCell ref="AD69:AD75"/>
    <mergeCell ref="AE69:AE75"/>
    <mergeCell ref="AI69:AI75"/>
    <mergeCell ref="S77:S85"/>
    <mergeCell ref="T77:T85"/>
    <mergeCell ref="AD77:AD85"/>
    <mergeCell ref="AE77:AE85"/>
    <mergeCell ref="G69:G75"/>
    <mergeCell ref="H69:H75"/>
    <mergeCell ref="I69:I75"/>
    <mergeCell ref="J69:J75"/>
    <mergeCell ref="K69:K75"/>
    <mergeCell ref="L69:L75"/>
    <mergeCell ref="A69:A75"/>
    <mergeCell ref="B69:B75"/>
    <mergeCell ref="C69:C75"/>
    <mergeCell ref="D69:D75"/>
    <mergeCell ref="E69:E75"/>
    <mergeCell ref="F69:F75"/>
    <mergeCell ref="A64:A68"/>
    <mergeCell ref="B64:B68"/>
    <mergeCell ref="C64:C68"/>
    <mergeCell ref="D64:D68"/>
    <mergeCell ref="E64:E68"/>
    <mergeCell ref="F64:F68"/>
    <mergeCell ref="AE64:AE68"/>
    <mergeCell ref="AI64:AI68"/>
    <mergeCell ref="AJ64:AJ68"/>
    <mergeCell ref="M64:M68"/>
    <mergeCell ref="N64:N68"/>
    <mergeCell ref="O64:O68"/>
    <mergeCell ref="P64:P68"/>
    <mergeCell ref="Q64:Q68"/>
    <mergeCell ref="R64:R68"/>
    <mergeCell ref="S64:S68"/>
    <mergeCell ref="T64:T68"/>
    <mergeCell ref="AD64:AD68"/>
    <mergeCell ref="G64:G68"/>
    <mergeCell ref="H64:H68"/>
    <mergeCell ref="I64:I68"/>
    <mergeCell ref="J64:J68"/>
    <mergeCell ref="K64:K68"/>
    <mergeCell ref="L64:L68"/>
    <mergeCell ref="S59:S63"/>
    <mergeCell ref="T59:T63"/>
    <mergeCell ref="AD59:AD63"/>
    <mergeCell ref="AE59:AE63"/>
    <mergeCell ref="J59:J63"/>
    <mergeCell ref="K59:K63"/>
    <mergeCell ref="M59:M63"/>
    <mergeCell ref="N59:N63"/>
    <mergeCell ref="O59:O63"/>
    <mergeCell ref="P59:P63"/>
    <mergeCell ref="AD41:AD57"/>
    <mergeCell ref="AE41:AE58"/>
    <mergeCell ref="A59:A63"/>
    <mergeCell ref="B59:B63"/>
    <mergeCell ref="D59:D63"/>
    <mergeCell ref="E59:E63"/>
    <mergeCell ref="F59:F63"/>
    <mergeCell ref="G59:G63"/>
    <mergeCell ref="H59:H63"/>
    <mergeCell ref="I59:I63"/>
    <mergeCell ref="O41:O58"/>
    <mergeCell ref="P41:P58"/>
    <mergeCell ref="Q41:Q58"/>
    <mergeCell ref="R41:R58"/>
    <mergeCell ref="S41:S58"/>
    <mergeCell ref="T41:T58"/>
    <mergeCell ref="I41:I57"/>
    <mergeCell ref="J41:J58"/>
    <mergeCell ref="K41:K58"/>
    <mergeCell ref="L41:L58"/>
    <mergeCell ref="M41:M58"/>
    <mergeCell ref="N41:N58"/>
    <mergeCell ref="Q59:Q63"/>
    <mergeCell ref="R59:R63"/>
    <mergeCell ref="AD27:AD40"/>
    <mergeCell ref="AE27:AE40"/>
    <mergeCell ref="A41:A58"/>
    <mergeCell ref="B41:B58"/>
    <mergeCell ref="C41:C57"/>
    <mergeCell ref="D41:D57"/>
    <mergeCell ref="E41:E57"/>
    <mergeCell ref="F41:F57"/>
    <mergeCell ref="G41:G57"/>
    <mergeCell ref="H41:H57"/>
    <mergeCell ref="O27:O40"/>
    <mergeCell ref="P27:P40"/>
    <mergeCell ref="Q27:Q40"/>
    <mergeCell ref="R27:R40"/>
    <mergeCell ref="S27:S40"/>
    <mergeCell ref="T27:T40"/>
    <mergeCell ref="H27:H40"/>
    <mergeCell ref="I27:I40"/>
    <mergeCell ref="J27:J40"/>
    <mergeCell ref="K27:K40"/>
    <mergeCell ref="M27:M40"/>
    <mergeCell ref="N27:N40"/>
    <mergeCell ref="A27:A40"/>
    <mergeCell ref="B27:B40"/>
    <mergeCell ref="D27:D40"/>
    <mergeCell ref="E27:E40"/>
    <mergeCell ref="F27:F40"/>
    <mergeCell ref="G27:G40"/>
    <mergeCell ref="AE14:AE24"/>
    <mergeCell ref="AF14:AF15"/>
    <mergeCell ref="D18:D24"/>
    <mergeCell ref="E18:E24"/>
    <mergeCell ref="F18:F24"/>
    <mergeCell ref="G18:G24"/>
    <mergeCell ref="H18:H24"/>
    <mergeCell ref="I18:I24"/>
    <mergeCell ref="AD18:AD24"/>
    <mergeCell ref="AF18:AF19"/>
    <mergeCell ref="P14:P24"/>
    <mergeCell ref="Q14:Q24"/>
    <mergeCell ref="R14:R24"/>
    <mergeCell ref="S14:S24"/>
    <mergeCell ref="T14:T24"/>
    <mergeCell ref="AD14:AD17"/>
    <mergeCell ref="J14:J24"/>
    <mergeCell ref="K14:K24"/>
    <mergeCell ref="L14:L24"/>
    <mergeCell ref="M14:M24"/>
    <mergeCell ref="N14:N24"/>
    <mergeCell ref="O14:O24"/>
    <mergeCell ref="AD11:AD12"/>
    <mergeCell ref="AE11:AE12"/>
    <mergeCell ref="A14:A24"/>
    <mergeCell ref="B14:B24"/>
    <mergeCell ref="D14:D17"/>
    <mergeCell ref="E14:E17"/>
    <mergeCell ref="F14:F17"/>
    <mergeCell ref="G14:G17"/>
    <mergeCell ref="H14:H17"/>
    <mergeCell ref="I14:I17"/>
    <mergeCell ref="O11:O12"/>
    <mergeCell ref="P11:P12"/>
    <mergeCell ref="Q11:Q12"/>
    <mergeCell ref="R11:R12"/>
    <mergeCell ref="S11:S12"/>
    <mergeCell ref="T11:T12"/>
    <mergeCell ref="I11:I12"/>
    <mergeCell ref="J11:J12"/>
    <mergeCell ref="K11:K12"/>
    <mergeCell ref="L11:L12"/>
    <mergeCell ref="M11:M12"/>
    <mergeCell ref="N11:N12"/>
    <mergeCell ref="AK3:AK4"/>
    <mergeCell ref="C4:F4"/>
    <mergeCell ref="G4:K4"/>
    <mergeCell ref="A11:A12"/>
    <mergeCell ref="B11:B12"/>
    <mergeCell ref="D11:D12"/>
    <mergeCell ref="E11:E12"/>
    <mergeCell ref="F11:F12"/>
    <mergeCell ref="G11:G12"/>
    <mergeCell ref="H11:H12"/>
    <mergeCell ref="A1:AE2"/>
    <mergeCell ref="A3:A5"/>
    <mergeCell ref="B3:B5"/>
    <mergeCell ref="C3:K3"/>
    <mergeCell ref="M3:M5"/>
    <mergeCell ref="N3:N5"/>
    <mergeCell ref="O3:O5"/>
    <mergeCell ref="P3:T4"/>
    <mergeCell ref="U3:AD4"/>
    <mergeCell ref="AE3:AE5"/>
  </mergeCells>
  <pageMargins left="0.2" right="0.1" top="0.2" bottom="0.2" header="0.2" footer="0.2"/>
  <pageSetup paperSize="9" scale="45"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N201"/>
  <sheetViews>
    <sheetView zoomScale="85" zoomScaleNormal="85" workbookViewId="0">
      <pane xSplit="4" ySplit="7" topLeftCell="E8" activePane="bottomRight" state="frozen"/>
      <selection pane="topRight"/>
      <selection pane="bottomLeft"/>
      <selection pane="bottomRight" activeCell="AU116" sqref="AU116"/>
    </sheetView>
  </sheetViews>
  <sheetFormatPr defaultColWidth="9" defaultRowHeight="15"/>
  <cols>
    <col min="1" max="1" width="5.42578125" style="38" customWidth="1"/>
    <col min="2" max="2" width="27" style="29" customWidth="1"/>
    <col min="3" max="3" width="6" style="29" hidden="1" customWidth="1"/>
    <col min="4" max="4" width="5.42578125" style="29" customWidth="1"/>
    <col min="5" max="5" width="6.42578125" style="29" customWidth="1"/>
    <col min="6" max="6" width="9.5703125" style="38" customWidth="1"/>
    <col min="7" max="7" width="6.42578125" style="38" customWidth="1"/>
    <col min="8" max="8" width="8.7109375" style="38" customWidth="1"/>
    <col min="9" max="9" width="8.5703125" style="38" customWidth="1"/>
    <col min="10" max="10" width="10" style="38" customWidth="1"/>
    <col min="11" max="11" width="9.140625" style="38" customWidth="1"/>
    <col min="12" max="12" width="6.5703125" style="38" hidden="1" customWidth="1"/>
    <col min="13" max="13" width="8.140625" style="38" customWidth="1"/>
    <col min="14" max="14" width="8.42578125" style="38" customWidth="1"/>
    <col min="15" max="15" width="7.5703125" style="38" customWidth="1"/>
    <col min="16" max="16" width="8.42578125" style="38" customWidth="1"/>
    <col min="17" max="18" width="15.28515625" style="38" customWidth="1"/>
    <col min="19" max="19" width="14.85546875" style="38" customWidth="1"/>
    <col min="20" max="20" width="16" style="38" customWidth="1"/>
    <col min="21" max="21" width="29.7109375" style="29" customWidth="1"/>
    <col min="22" max="22" width="7.7109375" style="38" hidden="1" customWidth="1"/>
    <col min="23" max="23" width="7.85546875" style="38" hidden="1" customWidth="1"/>
    <col min="24" max="24" width="11.85546875" style="38" customWidth="1"/>
    <col min="25" max="25" width="8.7109375" style="29" customWidth="1"/>
    <col min="26" max="26" width="11.140625" style="38" customWidth="1"/>
    <col min="27" max="27" width="0.28515625" style="29" hidden="1" customWidth="1"/>
    <col min="28" max="28" width="9.7109375" style="29" customWidth="1"/>
    <col min="29" max="29" width="14.42578125" style="29" customWidth="1"/>
    <col min="30" max="30" width="14.5703125" style="38" customWidth="1"/>
    <col min="31" max="31" width="15.28515625" style="108" customWidth="1"/>
    <col min="32" max="32" width="16.140625" style="29" hidden="1" customWidth="1"/>
    <col min="33" max="33" width="16" style="29" hidden="1" customWidth="1"/>
    <col min="34" max="34" width="14" style="29" hidden="1" customWidth="1"/>
    <col min="35" max="35" width="17.42578125" style="155" customWidth="1"/>
    <col min="36" max="36" width="17.28515625" style="155" customWidth="1"/>
    <col min="37" max="37" width="18.140625" style="292" customWidth="1"/>
    <col min="38" max="66" width="9" style="292"/>
    <col min="67" max="16384" width="9" style="2"/>
  </cols>
  <sheetData>
    <row r="1" spans="1:66" ht="32.25" customHeight="1">
      <c r="A1" s="290" t="s">
        <v>683</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row>
    <row r="2" spans="1:66" ht="32.2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66" ht="21.75" customHeight="1">
      <c r="A3" s="288" t="s">
        <v>4</v>
      </c>
      <c r="B3" s="288" t="s">
        <v>613</v>
      </c>
      <c r="C3" s="288" t="s">
        <v>377</v>
      </c>
      <c r="D3" s="288"/>
      <c r="E3" s="288"/>
      <c r="F3" s="288"/>
      <c r="G3" s="288"/>
      <c r="H3" s="288"/>
      <c r="I3" s="288"/>
      <c r="J3" s="288"/>
      <c r="K3" s="288"/>
      <c r="L3" s="30"/>
      <c r="M3" s="288" t="s">
        <v>378</v>
      </c>
      <c r="N3" s="251" t="s">
        <v>379</v>
      </c>
      <c r="O3" s="251" t="s">
        <v>20</v>
      </c>
      <c r="P3" s="288" t="s">
        <v>380</v>
      </c>
      <c r="Q3" s="288"/>
      <c r="R3" s="288"/>
      <c r="S3" s="288"/>
      <c r="T3" s="288"/>
      <c r="U3" s="288" t="s">
        <v>381</v>
      </c>
      <c r="V3" s="288"/>
      <c r="W3" s="288"/>
      <c r="X3" s="288"/>
      <c r="Y3" s="288"/>
      <c r="Z3" s="288"/>
      <c r="AA3" s="288"/>
      <c r="AB3" s="288"/>
      <c r="AC3" s="288"/>
      <c r="AD3" s="288"/>
      <c r="AE3" s="288" t="s">
        <v>382</v>
      </c>
      <c r="AK3" s="299" t="s">
        <v>652</v>
      </c>
    </row>
    <row r="4" spans="1:66" ht="28.5" customHeight="1">
      <c r="A4" s="288"/>
      <c r="B4" s="288"/>
      <c r="C4" s="288" t="s">
        <v>383</v>
      </c>
      <c r="D4" s="288"/>
      <c r="E4" s="288"/>
      <c r="F4" s="288"/>
      <c r="G4" s="288" t="s">
        <v>384</v>
      </c>
      <c r="H4" s="288"/>
      <c r="I4" s="288"/>
      <c r="J4" s="288"/>
      <c r="K4" s="288"/>
      <c r="L4" s="30"/>
      <c r="M4" s="288"/>
      <c r="N4" s="251"/>
      <c r="O4" s="251"/>
      <c r="P4" s="288"/>
      <c r="Q4" s="288"/>
      <c r="R4" s="288"/>
      <c r="S4" s="288"/>
      <c r="T4" s="288"/>
      <c r="U4" s="288"/>
      <c r="V4" s="288"/>
      <c r="W4" s="288"/>
      <c r="X4" s="288"/>
      <c r="Y4" s="288"/>
      <c r="Z4" s="288"/>
      <c r="AA4" s="288"/>
      <c r="AB4" s="288"/>
      <c r="AC4" s="288"/>
      <c r="AD4" s="288"/>
      <c r="AE4" s="288"/>
      <c r="AF4" s="31"/>
      <c r="AK4" s="299"/>
    </row>
    <row r="5" spans="1:66" ht="92.25" customHeight="1">
      <c r="A5" s="288"/>
      <c r="B5" s="288"/>
      <c r="C5" s="30" t="s">
        <v>385</v>
      </c>
      <c r="D5" s="30" t="s">
        <v>13</v>
      </c>
      <c r="E5" s="30" t="s">
        <v>14</v>
      </c>
      <c r="F5" s="30" t="s">
        <v>621</v>
      </c>
      <c r="G5" s="30" t="s">
        <v>16</v>
      </c>
      <c r="H5" s="32" t="s">
        <v>620</v>
      </c>
      <c r="I5" s="33" t="s">
        <v>619</v>
      </c>
      <c r="J5" s="32" t="s">
        <v>386</v>
      </c>
      <c r="K5" s="32" t="s">
        <v>618</v>
      </c>
      <c r="L5" s="30" t="s">
        <v>19</v>
      </c>
      <c r="M5" s="288"/>
      <c r="N5" s="251"/>
      <c r="O5" s="251"/>
      <c r="P5" s="32" t="s">
        <v>387</v>
      </c>
      <c r="Q5" s="32" t="s">
        <v>388</v>
      </c>
      <c r="R5" s="32" t="s">
        <v>389</v>
      </c>
      <c r="S5" s="32" t="s">
        <v>390</v>
      </c>
      <c r="T5" s="32" t="s">
        <v>391</v>
      </c>
      <c r="U5" s="30" t="s">
        <v>21</v>
      </c>
      <c r="V5" s="30" t="s">
        <v>406</v>
      </c>
      <c r="W5" s="30" t="s">
        <v>557</v>
      </c>
      <c r="X5" s="30" t="s">
        <v>22</v>
      </c>
      <c r="Y5" s="32" t="s">
        <v>23</v>
      </c>
      <c r="Z5" s="32" t="s">
        <v>5</v>
      </c>
      <c r="AA5" s="30" t="s">
        <v>24</v>
      </c>
      <c r="AB5" s="30" t="s">
        <v>25</v>
      </c>
      <c r="AC5" s="32" t="s">
        <v>392</v>
      </c>
      <c r="AD5" s="32" t="s">
        <v>393</v>
      </c>
      <c r="AE5" s="288"/>
      <c r="AF5" s="31"/>
    </row>
    <row r="6" spans="1:66" ht="15.75" customHeight="1">
      <c r="A6" s="30"/>
      <c r="B6" s="34"/>
      <c r="C6" s="30"/>
      <c r="D6" s="30"/>
      <c r="E6" s="30"/>
      <c r="F6" s="30"/>
      <c r="G6" s="30"/>
      <c r="H6" s="32"/>
      <c r="I6" s="33"/>
      <c r="J6" s="35"/>
      <c r="K6" s="35"/>
      <c r="L6" s="30"/>
      <c r="M6" s="30"/>
      <c r="N6" s="32"/>
      <c r="O6" s="32"/>
      <c r="P6" s="32">
        <v>80000</v>
      </c>
      <c r="Q6" s="32"/>
      <c r="R6" s="32">
        <f>P6*3</f>
        <v>240000</v>
      </c>
      <c r="S6" s="32">
        <f>17000*30</f>
        <v>510000</v>
      </c>
      <c r="T6" s="32"/>
      <c r="U6" s="36"/>
      <c r="V6" s="30"/>
      <c r="W6" s="30"/>
      <c r="X6" s="30"/>
      <c r="Y6" s="32"/>
      <c r="Z6" s="32"/>
      <c r="AA6" s="30"/>
      <c r="AB6" s="30"/>
      <c r="AC6" s="32"/>
      <c r="AD6" s="32"/>
      <c r="AE6" s="30"/>
      <c r="AF6" s="31"/>
    </row>
    <row r="7" spans="1:66" s="1" customFormat="1" ht="15.75">
      <c r="A7" s="30">
        <v>1</v>
      </c>
      <c r="B7" s="30">
        <v>2</v>
      </c>
      <c r="C7" s="30"/>
      <c r="D7" s="30">
        <v>3</v>
      </c>
      <c r="E7" s="30">
        <v>4</v>
      </c>
      <c r="F7" s="30">
        <v>5</v>
      </c>
      <c r="G7" s="30">
        <v>6</v>
      </c>
      <c r="H7" s="32">
        <v>7</v>
      </c>
      <c r="I7" s="32">
        <v>8</v>
      </c>
      <c r="J7" s="35">
        <v>9</v>
      </c>
      <c r="K7" s="35">
        <v>10</v>
      </c>
      <c r="L7" s="30"/>
      <c r="M7" s="30">
        <v>11</v>
      </c>
      <c r="N7" s="32">
        <v>12</v>
      </c>
      <c r="O7" s="32">
        <v>13</v>
      </c>
      <c r="P7" s="32">
        <v>14</v>
      </c>
      <c r="Q7" s="32">
        <v>15</v>
      </c>
      <c r="R7" s="32">
        <v>16</v>
      </c>
      <c r="S7" s="32">
        <v>17</v>
      </c>
      <c r="T7" s="32">
        <v>18</v>
      </c>
      <c r="U7" s="30">
        <v>19</v>
      </c>
      <c r="V7" s="30"/>
      <c r="W7" s="30"/>
      <c r="X7" s="30">
        <v>20</v>
      </c>
      <c r="Y7" s="32">
        <v>21</v>
      </c>
      <c r="Z7" s="32">
        <v>22</v>
      </c>
      <c r="AA7" s="30">
        <v>23</v>
      </c>
      <c r="AB7" s="30">
        <v>24</v>
      </c>
      <c r="AC7" s="32">
        <v>25</v>
      </c>
      <c r="AD7" s="32">
        <v>26</v>
      </c>
      <c r="AE7" s="30" t="s">
        <v>394</v>
      </c>
      <c r="AF7" s="37"/>
      <c r="AG7" s="38"/>
      <c r="AH7" s="38"/>
      <c r="AI7" s="196"/>
      <c r="AJ7" s="196"/>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row>
    <row r="8" spans="1:66" s="14" customFormat="1" ht="25.5" customHeight="1">
      <c r="A8" s="30"/>
      <c r="B8" s="34" t="s">
        <v>612</v>
      </c>
      <c r="C8" s="34"/>
      <c r="D8" s="34"/>
      <c r="E8" s="34"/>
      <c r="F8" s="30"/>
      <c r="G8" s="30"/>
      <c r="H8" s="30"/>
      <c r="I8" s="30"/>
      <c r="J8" s="39"/>
      <c r="K8" s="39"/>
      <c r="L8" s="30"/>
      <c r="M8" s="30"/>
      <c r="N8" s="30"/>
      <c r="O8" s="30"/>
      <c r="P8" s="30"/>
      <c r="Q8" s="30"/>
      <c r="R8" s="30"/>
      <c r="S8" s="30"/>
      <c r="T8" s="30"/>
      <c r="U8" s="34"/>
      <c r="V8" s="30"/>
      <c r="W8" s="30"/>
      <c r="X8" s="30"/>
      <c r="Y8" s="34"/>
      <c r="Z8" s="30"/>
      <c r="AA8" s="34"/>
      <c r="AB8" s="34"/>
      <c r="AC8" s="34"/>
      <c r="AD8" s="30"/>
      <c r="AE8" s="30"/>
      <c r="AF8" s="40"/>
      <c r="AG8" s="40"/>
      <c r="AH8" s="40"/>
      <c r="AI8" s="160"/>
      <c r="AJ8" s="160"/>
      <c r="AK8" s="294"/>
      <c r="AL8" s="294"/>
      <c r="AM8" s="294"/>
      <c r="AN8" s="294"/>
      <c r="AO8" s="294"/>
      <c r="AP8" s="294"/>
      <c r="AQ8" s="294"/>
      <c r="AR8" s="294"/>
      <c r="AS8" s="294"/>
      <c r="AT8" s="294"/>
      <c r="AU8" s="294"/>
      <c r="AV8" s="294"/>
      <c r="AW8" s="294"/>
      <c r="AX8" s="294"/>
      <c r="AY8" s="294"/>
      <c r="AZ8" s="294"/>
      <c r="BA8" s="294"/>
      <c r="BB8" s="294"/>
      <c r="BC8" s="294"/>
      <c r="BD8" s="294"/>
      <c r="BE8" s="294"/>
      <c r="BF8" s="294"/>
      <c r="BG8" s="294"/>
      <c r="BH8" s="294"/>
      <c r="BI8" s="294"/>
      <c r="BJ8" s="294"/>
      <c r="BK8" s="294"/>
      <c r="BL8" s="294"/>
      <c r="BM8" s="294"/>
      <c r="BN8" s="294"/>
    </row>
    <row r="9" spans="1:66" s="24" customFormat="1" ht="43.5" customHeight="1">
      <c r="A9" s="41">
        <v>1</v>
      </c>
      <c r="B9" s="42" t="s">
        <v>581</v>
      </c>
      <c r="C9" s="43"/>
      <c r="D9" s="44">
        <v>64</v>
      </c>
      <c r="E9" s="44">
        <v>384</v>
      </c>
      <c r="F9" s="44">
        <v>217.6</v>
      </c>
      <c r="G9" s="44" t="s">
        <v>397</v>
      </c>
      <c r="H9" s="44">
        <v>216</v>
      </c>
      <c r="I9" s="44">
        <f>F9-H9</f>
        <v>1.5999999999999943</v>
      </c>
      <c r="J9" s="46">
        <v>216</v>
      </c>
      <c r="K9" s="45">
        <v>756</v>
      </c>
      <c r="L9" s="45"/>
      <c r="M9" s="46">
        <f>J9/K9*100</f>
        <v>28.571428571428569</v>
      </c>
      <c r="N9" s="47">
        <f>IF(M9&lt;10,2,IF(M9&lt;20,3,IF(M9&lt;30,5,IF(M9&gt;=70,12,IF(M9&gt;=30,6)))))</f>
        <v>5</v>
      </c>
      <c r="O9" s="47">
        <v>5</v>
      </c>
      <c r="P9" s="48">
        <f>$P$6</f>
        <v>80000</v>
      </c>
      <c r="Q9" s="48">
        <f>H9*P9</f>
        <v>17280000</v>
      </c>
      <c r="R9" s="48">
        <f>Q9*3</f>
        <v>51840000</v>
      </c>
      <c r="S9" s="48">
        <f>N9*O9*17000*30</f>
        <v>12750000</v>
      </c>
      <c r="T9" s="48">
        <f>S9+R9+Q9</f>
        <v>81870000</v>
      </c>
      <c r="U9" s="49" t="s">
        <v>591</v>
      </c>
      <c r="V9" s="41"/>
      <c r="W9" s="41"/>
      <c r="X9" s="50" t="s">
        <v>0</v>
      </c>
      <c r="Y9" s="44">
        <v>216</v>
      </c>
      <c r="Z9" s="47">
        <v>97000</v>
      </c>
      <c r="AA9" s="43"/>
      <c r="AB9" s="51">
        <v>1</v>
      </c>
      <c r="AC9" s="52">
        <f>Y9*Z9*AB9</f>
        <v>20952000</v>
      </c>
      <c r="AD9" s="47">
        <f>AC9</f>
        <v>20952000</v>
      </c>
      <c r="AE9" s="53">
        <f>AD9+T9</f>
        <v>102822000</v>
      </c>
      <c r="AF9" s="54"/>
      <c r="AG9" s="55"/>
      <c r="AH9" s="55"/>
      <c r="AI9" s="178"/>
      <c r="AJ9" s="178"/>
      <c r="AK9" s="295"/>
      <c r="AL9" s="295"/>
      <c r="AM9" s="295"/>
      <c r="AN9" s="295"/>
      <c r="AO9" s="295"/>
      <c r="AP9" s="295"/>
      <c r="AQ9" s="295"/>
      <c r="AR9" s="295"/>
      <c r="AS9" s="295"/>
      <c r="AT9" s="295"/>
      <c r="AU9" s="295"/>
      <c r="AV9" s="295"/>
      <c r="AW9" s="295"/>
      <c r="AX9" s="295"/>
      <c r="AY9" s="295"/>
      <c r="AZ9" s="295"/>
      <c r="BA9" s="295"/>
      <c r="BB9" s="295"/>
      <c r="BC9" s="295"/>
      <c r="BD9" s="295"/>
      <c r="BE9" s="295"/>
      <c r="BF9" s="295"/>
      <c r="BG9" s="295"/>
      <c r="BH9" s="295"/>
      <c r="BI9" s="295"/>
      <c r="BJ9" s="295"/>
      <c r="BK9" s="295"/>
      <c r="BL9" s="295"/>
      <c r="BM9" s="295"/>
      <c r="BN9" s="295"/>
    </row>
    <row r="10" spans="1:66" s="24" customFormat="1" ht="43.5" customHeight="1">
      <c r="A10" s="44">
        <v>2</v>
      </c>
      <c r="B10" s="42" t="s">
        <v>582</v>
      </c>
      <c r="C10" s="43"/>
      <c r="D10" s="44">
        <v>64</v>
      </c>
      <c r="E10" s="44">
        <v>379</v>
      </c>
      <c r="F10" s="44">
        <v>216.1</v>
      </c>
      <c r="G10" s="44" t="s">
        <v>397</v>
      </c>
      <c r="H10" s="44">
        <v>216</v>
      </c>
      <c r="I10" s="44">
        <f>F10-H10</f>
        <v>9.9999999999994316E-2</v>
      </c>
      <c r="J10" s="46">
        <v>216</v>
      </c>
      <c r="K10" s="45">
        <v>756</v>
      </c>
      <c r="L10" s="45"/>
      <c r="M10" s="46">
        <f>J10/K10*100</f>
        <v>28.571428571428569</v>
      </c>
      <c r="N10" s="47">
        <f>IF(M10&lt;10,2,IF(M10&lt;20,3,IF(M10&lt;30,5,IF(M10&gt;=70,12,IF(M10&gt;=30,6)))))</f>
        <v>5</v>
      </c>
      <c r="O10" s="47">
        <v>3</v>
      </c>
      <c r="P10" s="48">
        <f>$P$6</f>
        <v>80000</v>
      </c>
      <c r="Q10" s="48">
        <f>H10*P10</f>
        <v>17280000</v>
      </c>
      <c r="R10" s="48">
        <f>Q10*3</f>
        <v>51840000</v>
      </c>
      <c r="S10" s="48">
        <f>N10*O10*17000*30</f>
        <v>7650000</v>
      </c>
      <c r="T10" s="48">
        <f>S10+R10+Q10</f>
        <v>76770000</v>
      </c>
      <c r="U10" s="49" t="s">
        <v>591</v>
      </c>
      <c r="V10" s="41"/>
      <c r="W10" s="41"/>
      <c r="X10" s="50" t="s">
        <v>0</v>
      </c>
      <c r="Y10" s="44">
        <v>216</v>
      </c>
      <c r="Z10" s="47">
        <v>97000</v>
      </c>
      <c r="AA10" s="43"/>
      <c r="AB10" s="51">
        <v>1</v>
      </c>
      <c r="AC10" s="52">
        <f>Y10*Z10*AB10</f>
        <v>20952000</v>
      </c>
      <c r="AD10" s="47">
        <f>AC10</f>
        <v>20952000</v>
      </c>
      <c r="AE10" s="53">
        <f>AD10+T10</f>
        <v>97722000</v>
      </c>
      <c r="AF10" s="54"/>
      <c r="AG10" s="55"/>
      <c r="AH10" s="55"/>
      <c r="AI10" s="178"/>
      <c r="AJ10" s="178"/>
      <c r="AK10" s="295"/>
      <c r="AL10" s="295"/>
      <c r="AM10" s="295"/>
      <c r="AN10" s="295"/>
      <c r="AO10" s="295"/>
      <c r="AP10" s="295"/>
      <c r="AQ10" s="295"/>
      <c r="AR10" s="295"/>
      <c r="AS10" s="295"/>
      <c r="AT10" s="295"/>
      <c r="AU10" s="295"/>
      <c r="AV10" s="295"/>
      <c r="AW10" s="295"/>
      <c r="AX10" s="295"/>
      <c r="AY10" s="295"/>
      <c r="AZ10" s="295"/>
      <c r="BA10" s="295"/>
      <c r="BB10" s="295"/>
      <c r="BC10" s="295"/>
      <c r="BD10" s="295"/>
      <c r="BE10" s="295"/>
      <c r="BF10" s="295"/>
      <c r="BG10" s="295"/>
      <c r="BH10" s="295"/>
      <c r="BI10" s="295"/>
      <c r="BJ10" s="295"/>
      <c r="BK10" s="295"/>
      <c r="BL10" s="295"/>
      <c r="BM10" s="295"/>
      <c r="BN10" s="295"/>
    </row>
    <row r="11" spans="1:66" s="25" customFormat="1" ht="43.5" customHeight="1">
      <c r="A11" s="262">
        <v>3</v>
      </c>
      <c r="B11" s="271" t="s">
        <v>614</v>
      </c>
      <c r="C11" s="56"/>
      <c r="D11" s="279">
        <v>65</v>
      </c>
      <c r="E11" s="289">
        <v>34</v>
      </c>
      <c r="F11" s="289">
        <v>360</v>
      </c>
      <c r="G11" s="279" t="s">
        <v>397</v>
      </c>
      <c r="H11" s="262">
        <v>360</v>
      </c>
      <c r="I11" s="274">
        <f>F11-H11</f>
        <v>0</v>
      </c>
      <c r="J11" s="269">
        <v>360</v>
      </c>
      <c r="K11" s="262">
        <v>360</v>
      </c>
      <c r="L11" s="262"/>
      <c r="M11" s="269">
        <f>J11/K11*100</f>
        <v>100</v>
      </c>
      <c r="N11" s="264">
        <f>IF(M11&lt;10,2,IF(M11&lt;20,3,IF(M11&lt;30,5,IF(M11&gt;=70,12,IF(M11&gt;=30,6)))))</f>
        <v>12</v>
      </c>
      <c r="O11" s="264">
        <v>4</v>
      </c>
      <c r="P11" s="264">
        <f>$P$6</f>
        <v>80000</v>
      </c>
      <c r="Q11" s="264">
        <f>K11*P11</f>
        <v>28800000</v>
      </c>
      <c r="R11" s="264">
        <f>Q11*3</f>
        <v>86400000</v>
      </c>
      <c r="S11" s="264">
        <f>N11*O11*17000*30</f>
        <v>24480000</v>
      </c>
      <c r="T11" s="264">
        <f>S11+R11+Q11</f>
        <v>139680000</v>
      </c>
      <c r="U11" s="49" t="s">
        <v>591</v>
      </c>
      <c r="V11" s="39"/>
      <c r="W11" s="39"/>
      <c r="X11" s="50" t="s">
        <v>0</v>
      </c>
      <c r="Y11" s="48">
        <v>360</v>
      </c>
      <c r="Z11" s="48">
        <v>97000</v>
      </c>
      <c r="AA11" s="56"/>
      <c r="AB11" s="57">
        <v>1</v>
      </c>
      <c r="AC11" s="35">
        <f t="shared" ref="AC11:AC13" si="0">Y11*Z11*AB11</f>
        <v>34920000</v>
      </c>
      <c r="AD11" s="264">
        <f>AC11+AC12</f>
        <v>34920000</v>
      </c>
      <c r="AE11" s="268">
        <f>AD11+T11</f>
        <v>174600000</v>
      </c>
      <c r="AF11" s="58"/>
      <c r="AG11" s="59"/>
      <c r="AH11" s="59"/>
      <c r="AI11" s="181"/>
      <c r="AJ11" s="181"/>
      <c r="AK11" s="296"/>
      <c r="AL11" s="296"/>
      <c r="AM11" s="296"/>
      <c r="AN11" s="296"/>
      <c r="AO11" s="296"/>
      <c r="AP11" s="296"/>
      <c r="AQ11" s="296"/>
      <c r="AR11" s="296"/>
      <c r="AS11" s="296"/>
      <c r="AT11" s="296"/>
      <c r="AU11" s="296"/>
      <c r="AV11" s="296"/>
      <c r="AW11" s="296"/>
      <c r="AX11" s="296"/>
      <c r="AY11" s="296"/>
      <c r="AZ11" s="296"/>
      <c r="BA11" s="296"/>
      <c r="BB11" s="296"/>
      <c r="BC11" s="296"/>
      <c r="BD11" s="296"/>
      <c r="BE11" s="296"/>
      <c r="BF11" s="296"/>
      <c r="BG11" s="296"/>
      <c r="BH11" s="296"/>
      <c r="BI11" s="296"/>
      <c r="BJ11" s="296"/>
      <c r="BK11" s="296"/>
      <c r="BL11" s="296"/>
      <c r="BM11" s="296"/>
      <c r="BN11" s="296"/>
    </row>
    <row r="12" spans="1:66" s="25" customFormat="1" ht="43.5" customHeight="1">
      <c r="A12" s="262"/>
      <c r="B12" s="271"/>
      <c r="C12" s="56"/>
      <c r="D12" s="279"/>
      <c r="E12" s="289"/>
      <c r="F12" s="289"/>
      <c r="G12" s="279"/>
      <c r="H12" s="262"/>
      <c r="I12" s="276"/>
      <c r="J12" s="269"/>
      <c r="K12" s="262"/>
      <c r="L12" s="262"/>
      <c r="M12" s="269"/>
      <c r="N12" s="264"/>
      <c r="O12" s="264"/>
      <c r="P12" s="264"/>
      <c r="Q12" s="264"/>
      <c r="R12" s="264"/>
      <c r="S12" s="264"/>
      <c r="T12" s="264"/>
      <c r="U12" s="49" t="s">
        <v>598</v>
      </c>
      <c r="V12" s="39"/>
      <c r="W12" s="39"/>
      <c r="X12" s="60" t="s">
        <v>628</v>
      </c>
      <c r="Y12" s="61">
        <v>19.95</v>
      </c>
      <c r="Z12" s="62">
        <v>0</v>
      </c>
      <c r="AA12" s="56"/>
      <c r="AB12" s="35">
        <v>0</v>
      </c>
      <c r="AC12" s="35">
        <f t="shared" si="0"/>
        <v>0</v>
      </c>
      <c r="AD12" s="262"/>
      <c r="AE12" s="283"/>
      <c r="AF12" s="58"/>
      <c r="AG12" s="59"/>
      <c r="AH12" s="59"/>
      <c r="AI12" s="181"/>
      <c r="AJ12" s="181"/>
      <c r="AK12" s="296"/>
      <c r="AL12" s="296"/>
      <c r="AM12" s="296"/>
      <c r="AN12" s="296"/>
      <c r="AO12" s="296"/>
      <c r="AP12" s="296"/>
      <c r="AQ12" s="296"/>
      <c r="AR12" s="296"/>
      <c r="AS12" s="296"/>
      <c r="AT12" s="296"/>
      <c r="AU12" s="296"/>
      <c r="AV12" s="296"/>
      <c r="AW12" s="296"/>
      <c r="AX12" s="296"/>
      <c r="AY12" s="296"/>
      <c r="AZ12" s="296"/>
      <c r="BA12" s="296"/>
      <c r="BB12" s="296"/>
      <c r="BC12" s="296"/>
      <c r="BD12" s="296"/>
      <c r="BE12" s="296"/>
      <c r="BF12" s="296"/>
      <c r="BG12" s="296"/>
      <c r="BH12" s="296"/>
      <c r="BI12" s="296"/>
      <c r="BJ12" s="296"/>
      <c r="BK12" s="296"/>
      <c r="BL12" s="296"/>
      <c r="BM12" s="296"/>
      <c r="BN12" s="296"/>
    </row>
    <row r="13" spans="1:66" s="25" customFormat="1" ht="43.5" customHeight="1">
      <c r="A13" s="60">
        <v>4</v>
      </c>
      <c r="B13" s="49" t="s">
        <v>585</v>
      </c>
      <c r="C13" s="56"/>
      <c r="D13" s="63">
        <v>65</v>
      </c>
      <c r="E13" s="63">
        <v>12</v>
      </c>
      <c r="F13" s="63">
        <v>288</v>
      </c>
      <c r="G13" s="63" t="s">
        <v>397</v>
      </c>
      <c r="H13" s="60">
        <v>288</v>
      </c>
      <c r="I13" s="60">
        <f>F13-H13</f>
        <v>0</v>
      </c>
      <c r="J13" s="64">
        <v>288</v>
      </c>
      <c r="K13" s="60">
        <v>288</v>
      </c>
      <c r="L13" s="60"/>
      <c r="M13" s="64">
        <f>J13/K13*100</f>
        <v>100</v>
      </c>
      <c r="N13" s="48">
        <f>IF(M13&lt;10,2,IF(M13&lt;20,3,IF(M13&lt;30,5,IF(M13&gt;=70,12,IF(M13&gt;=30,6)))))</f>
        <v>12</v>
      </c>
      <c r="O13" s="48">
        <v>4</v>
      </c>
      <c r="P13" s="48">
        <f>$P$6</f>
        <v>80000</v>
      </c>
      <c r="Q13" s="48">
        <f>K13*P13</f>
        <v>23040000</v>
      </c>
      <c r="R13" s="48">
        <f>Q13*3</f>
        <v>69120000</v>
      </c>
      <c r="S13" s="48">
        <f>N13*O13*17000*30</f>
        <v>24480000</v>
      </c>
      <c r="T13" s="48">
        <f>S13+R13+Q13</f>
        <v>116640000</v>
      </c>
      <c r="U13" s="65" t="s">
        <v>623</v>
      </c>
      <c r="V13" s="50"/>
      <c r="W13" s="50"/>
      <c r="X13" s="50" t="s">
        <v>0</v>
      </c>
      <c r="Y13" s="48">
        <v>288</v>
      </c>
      <c r="Z13" s="62">
        <v>63000</v>
      </c>
      <c r="AA13" s="56"/>
      <c r="AB13" s="57">
        <v>1</v>
      </c>
      <c r="AC13" s="35">
        <f t="shared" si="0"/>
        <v>18144000</v>
      </c>
      <c r="AD13" s="48">
        <f>AC13</f>
        <v>18144000</v>
      </c>
      <c r="AE13" s="66">
        <f>AD13+T13</f>
        <v>134784000</v>
      </c>
      <c r="AF13" s="58"/>
      <c r="AG13" s="59"/>
      <c r="AH13" s="59"/>
      <c r="AI13" s="181"/>
      <c r="AJ13" s="181"/>
      <c r="AK13" s="296"/>
      <c r="AL13" s="296"/>
      <c r="AM13" s="296"/>
      <c r="AN13" s="296"/>
      <c r="AO13" s="296"/>
      <c r="AP13" s="296"/>
      <c r="AQ13" s="296"/>
      <c r="AR13" s="296"/>
      <c r="AS13" s="296"/>
      <c r="AT13" s="296"/>
      <c r="AU13" s="296"/>
      <c r="AV13" s="296"/>
      <c r="AW13" s="296"/>
      <c r="AX13" s="296"/>
      <c r="AY13" s="296"/>
      <c r="AZ13" s="296"/>
      <c r="BA13" s="296"/>
      <c r="BB13" s="296"/>
      <c r="BC13" s="296"/>
      <c r="BD13" s="296"/>
      <c r="BE13" s="296"/>
      <c r="BF13" s="296"/>
      <c r="BG13" s="296"/>
      <c r="BH13" s="296"/>
      <c r="BI13" s="296"/>
      <c r="BJ13" s="296"/>
      <c r="BK13" s="296"/>
      <c r="BL13" s="296"/>
      <c r="BM13" s="296"/>
      <c r="BN13" s="296"/>
    </row>
    <row r="14" spans="1:66" s="25" customFormat="1" ht="34.5" customHeight="1">
      <c r="A14" s="262">
        <v>5</v>
      </c>
      <c r="B14" s="258" t="s">
        <v>586</v>
      </c>
      <c r="C14" s="56"/>
      <c r="D14" s="279">
        <v>64</v>
      </c>
      <c r="E14" s="279">
        <v>391</v>
      </c>
      <c r="F14" s="279">
        <v>252.1</v>
      </c>
      <c r="G14" s="279" t="s">
        <v>28</v>
      </c>
      <c r="H14" s="279">
        <v>252</v>
      </c>
      <c r="I14" s="284">
        <f>F14-H14</f>
        <v>9.9999999999994316E-2</v>
      </c>
      <c r="J14" s="280">
        <f>H14+H18</f>
        <v>612</v>
      </c>
      <c r="K14" s="262">
        <v>612</v>
      </c>
      <c r="L14" s="262"/>
      <c r="M14" s="262">
        <f>J14/K14*100</f>
        <v>100</v>
      </c>
      <c r="N14" s="262">
        <v>12</v>
      </c>
      <c r="O14" s="262">
        <v>7</v>
      </c>
      <c r="P14" s="264">
        <v>80000</v>
      </c>
      <c r="Q14" s="264">
        <f>P14*K14</f>
        <v>48960000</v>
      </c>
      <c r="R14" s="264">
        <f>Q14*3</f>
        <v>146880000</v>
      </c>
      <c r="S14" s="264">
        <f>N14*O14*17000*30</f>
        <v>42840000</v>
      </c>
      <c r="T14" s="264">
        <f>SUM(Q14:S24)</f>
        <v>238680000</v>
      </c>
      <c r="U14" s="65" t="s">
        <v>622</v>
      </c>
      <c r="V14" s="50">
        <v>25</v>
      </c>
      <c r="W14" s="50">
        <f>H14/V14</f>
        <v>10.08</v>
      </c>
      <c r="X14" s="60" t="str">
        <f>'[2]bang gia'!$C$46</f>
        <v>đồng/cây</v>
      </c>
      <c r="Y14" s="48">
        <v>13</v>
      </c>
      <c r="Z14" s="48"/>
      <c r="AA14" s="56"/>
      <c r="AB14" s="39"/>
      <c r="AC14" s="35"/>
      <c r="AD14" s="264">
        <f>SUM(AC14:AC17)</f>
        <v>51750000</v>
      </c>
      <c r="AE14" s="268">
        <f>T14+AD14+AD18</f>
        <v>362430000</v>
      </c>
      <c r="AF14" s="278" t="s">
        <v>415</v>
      </c>
      <c r="AG14" s="59"/>
      <c r="AH14" s="59"/>
      <c r="AI14" s="181"/>
      <c r="AJ14" s="181"/>
      <c r="AK14" s="296"/>
      <c r="AL14" s="296"/>
      <c r="AM14" s="296"/>
      <c r="AN14" s="296"/>
      <c r="AO14" s="296"/>
      <c r="AP14" s="296"/>
      <c r="AQ14" s="296"/>
      <c r="AR14" s="296"/>
      <c r="AS14" s="296"/>
      <c r="AT14" s="296"/>
      <c r="AU14" s="296"/>
      <c r="AV14" s="296"/>
      <c r="AW14" s="296"/>
      <c r="AX14" s="296"/>
      <c r="AY14" s="296"/>
      <c r="AZ14" s="296"/>
      <c r="BA14" s="296"/>
      <c r="BB14" s="296"/>
      <c r="BC14" s="296"/>
      <c r="BD14" s="296"/>
      <c r="BE14" s="296"/>
      <c r="BF14" s="296"/>
      <c r="BG14" s="296"/>
      <c r="BH14" s="296"/>
      <c r="BI14" s="296"/>
      <c r="BJ14" s="296"/>
      <c r="BK14" s="296"/>
      <c r="BL14" s="296"/>
      <c r="BM14" s="296"/>
      <c r="BN14" s="296"/>
    </row>
    <row r="15" spans="1:66" s="25" customFormat="1" ht="27" customHeight="1">
      <c r="A15" s="262"/>
      <c r="B15" s="258"/>
      <c r="C15" s="56"/>
      <c r="D15" s="279"/>
      <c r="E15" s="279"/>
      <c r="F15" s="279"/>
      <c r="G15" s="279"/>
      <c r="H15" s="279"/>
      <c r="I15" s="285"/>
      <c r="J15" s="281"/>
      <c r="K15" s="262"/>
      <c r="L15" s="262"/>
      <c r="M15" s="262"/>
      <c r="N15" s="262"/>
      <c r="O15" s="262"/>
      <c r="P15" s="264"/>
      <c r="Q15" s="264"/>
      <c r="R15" s="264"/>
      <c r="S15" s="264"/>
      <c r="T15" s="264"/>
      <c r="U15" s="67" t="s">
        <v>421</v>
      </c>
      <c r="V15" s="50"/>
      <c r="W15" s="50"/>
      <c r="X15" s="60" t="str">
        <f>'[2]bang gia'!$C$46</f>
        <v>đồng/cây</v>
      </c>
      <c r="Y15" s="48">
        <v>10</v>
      </c>
      <c r="Z15" s="48">
        <f>'[2]bang gia'!$D$46</f>
        <v>4500000</v>
      </c>
      <c r="AA15" s="56"/>
      <c r="AB15" s="68">
        <v>1</v>
      </c>
      <c r="AC15" s="35">
        <f>Y15*Z15*AB15</f>
        <v>45000000</v>
      </c>
      <c r="AD15" s="262"/>
      <c r="AE15" s="268"/>
      <c r="AF15" s="278"/>
      <c r="AG15" s="59"/>
      <c r="AH15" s="59"/>
      <c r="AI15" s="181"/>
      <c r="AJ15" s="181"/>
      <c r="AK15" s="296"/>
      <c r="AL15" s="296"/>
      <c r="AM15" s="296"/>
      <c r="AN15" s="296"/>
      <c r="AO15" s="296"/>
      <c r="AP15" s="296"/>
      <c r="AQ15" s="296"/>
      <c r="AR15" s="296"/>
      <c r="AS15" s="296"/>
      <c r="AT15" s="296"/>
      <c r="AU15" s="296"/>
      <c r="AV15" s="296"/>
      <c r="AW15" s="296"/>
      <c r="AX15" s="296"/>
      <c r="AY15" s="296"/>
      <c r="AZ15" s="296"/>
      <c r="BA15" s="296"/>
      <c r="BB15" s="296"/>
      <c r="BC15" s="296"/>
      <c r="BD15" s="296"/>
      <c r="BE15" s="296"/>
      <c r="BF15" s="296"/>
      <c r="BG15" s="296"/>
      <c r="BH15" s="296"/>
      <c r="BI15" s="296"/>
      <c r="BJ15" s="296"/>
      <c r="BK15" s="296"/>
      <c r="BL15" s="296"/>
      <c r="BM15" s="296"/>
      <c r="BN15" s="296"/>
    </row>
    <row r="16" spans="1:66" s="25" customFormat="1" ht="27" customHeight="1">
      <c r="A16" s="262"/>
      <c r="B16" s="258"/>
      <c r="C16" s="56"/>
      <c r="D16" s="279"/>
      <c r="E16" s="279"/>
      <c r="F16" s="279"/>
      <c r="G16" s="279"/>
      <c r="H16" s="279"/>
      <c r="I16" s="285"/>
      <c r="J16" s="281"/>
      <c r="K16" s="262"/>
      <c r="L16" s="262"/>
      <c r="M16" s="262"/>
      <c r="N16" s="262"/>
      <c r="O16" s="262"/>
      <c r="P16" s="264"/>
      <c r="Q16" s="264"/>
      <c r="R16" s="264"/>
      <c r="S16" s="264"/>
      <c r="T16" s="264"/>
      <c r="U16" s="67" t="s">
        <v>423</v>
      </c>
      <c r="V16" s="50"/>
      <c r="W16" s="50">
        <f>0.3*W14</f>
        <v>3.024</v>
      </c>
      <c r="X16" s="60" t="str">
        <f>'[2]bang gia'!$C$46</f>
        <v>đồng/cây</v>
      </c>
      <c r="Y16" s="48">
        <v>3</v>
      </c>
      <c r="Z16" s="48">
        <f>'[2]bang gia'!$D$46</f>
        <v>4500000</v>
      </c>
      <c r="AA16" s="56"/>
      <c r="AB16" s="57">
        <v>0.5</v>
      </c>
      <c r="AC16" s="35">
        <f>Y16*Z16*AB16</f>
        <v>6750000</v>
      </c>
      <c r="AD16" s="262"/>
      <c r="AE16" s="268"/>
      <c r="AF16" s="58"/>
      <c r="AG16" s="59"/>
      <c r="AH16" s="59"/>
      <c r="AI16" s="181"/>
      <c r="AJ16" s="181"/>
      <c r="AK16" s="296"/>
      <c r="AL16" s="296"/>
      <c r="AM16" s="296"/>
      <c r="AN16" s="296"/>
      <c r="AO16" s="296"/>
      <c r="AP16" s="296"/>
      <c r="AQ16" s="296"/>
      <c r="AR16" s="296"/>
      <c r="AS16" s="296"/>
      <c r="AT16" s="296"/>
      <c r="AU16" s="296"/>
      <c r="AV16" s="296"/>
      <c r="AW16" s="296"/>
      <c r="AX16" s="296"/>
      <c r="AY16" s="296"/>
      <c r="AZ16" s="296"/>
      <c r="BA16" s="296"/>
      <c r="BB16" s="296"/>
      <c r="BC16" s="296"/>
      <c r="BD16" s="296"/>
      <c r="BE16" s="296"/>
      <c r="BF16" s="296"/>
      <c r="BG16" s="296"/>
      <c r="BH16" s="296"/>
      <c r="BI16" s="296"/>
      <c r="BJ16" s="296"/>
      <c r="BK16" s="296"/>
      <c r="BL16" s="296"/>
      <c r="BM16" s="296"/>
      <c r="BN16" s="296"/>
    </row>
    <row r="17" spans="1:66" s="25" customFormat="1" ht="27" customHeight="1">
      <c r="A17" s="262"/>
      <c r="B17" s="258"/>
      <c r="C17" s="56"/>
      <c r="D17" s="279"/>
      <c r="E17" s="279"/>
      <c r="F17" s="279"/>
      <c r="G17" s="279"/>
      <c r="H17" s="279"/>
      <c r="I17" s="286"/>
      <c r="J17" s="281"/>
      <c r="K17" s="262"/>
      <c r="L17" s="262"/>
      <c r="M17" s="262"/>
      <c r="N17" s="262"/>
      <c r="O17" s="262"/>
      <c r="P17" s="264"/>
      <c r="Q17" s="264"/>
      <c r="R17" s="264"/>
      <c r="S17" s="264"/>
      <c r="T17" s="264"/>
      <c r="U17" s="49" t="s">
        <v>600</v>
      </c>
      <c r="V17" s="39"/>
      <c r="W17" s="39"/>
      <c r="X17" s="60" t="s">
        <v>628</v>
      </c>
      <c r="Y17" s="61">
        <v>0.3</v>
      </c>
      <c r="Z17" s="39"/>
      <c r="AA17" s="56"/>
      <c r="AB17" s="57">
        <v>0</v>
      </c>
      <c r="AC17" s="60">
        <f>Y17*Z17*AB17</f>
        <v>0</v>
      </c>
      <c r="AD17" s="262"/>
      <c r="AE17" s="268"/>
      <c r="AF17" s="58"/>
      <c r="AG17" s="59"/>
      <c r="AH17" s="59"/>
      <c r="AI17" s="181"/>
      <c r="AJ17" s="181"/>
      <c r="AK17" s="296"/>
      <c r="AL17" s="296"/>
      <c r="AM17" s="296"/>
      <c r="AN17" s="296"/>
      <c r="AO17" s="296"/>
      <c r="AP17" s="296"/>
      <c r="AQ17" s="296"/>
      <c r="AR17" s="296"/>
      <c r="AS17" s="296"/>
      <c r="AT17" s="296"/>
      <c r="AU17" s="296"/>
      <c r="AV17" s="296"/>
      <c r="AW17" s="296"/>
      <c r="AX17" s="296"/>
      <c r="AY17" s="296"/>
      <c r="AZ17" s="296"/>
      <c r="BA17" s="296"/>
      <c r="BB17" s="296"/>
      <c r="BC17" s="296"/>
      <c r="BD17" s="296"/>
      <c r="BE17" s="296"/>
      <c r="BF17" s="296"/>
      <c r="BG17" s="296"/>
      <c r="BH17" s="296"/>
      <c r="BI17" s="296"/>
      <c r="BJ17" s="296"/>
      <c r="BK17" s="296"/>
      <c r="BL17" s="296"/>
      <c r="BM17" s="296"/>
      <c r="BN17" s="296"/>
    </row>
    <row r="18" spans="1:66" s="25" customFormat="1" ht="33.75" customHeight="1">
      <c r="A18" s="262"/>
      <c r="B18" s="258"/>
      <c r="C18" s="56"/>
      <c r="D18" s="279">
        <v>64</v>
      </c>
      <c r="E18" s="279">
        <v>345</v>
      </c>
      <c r="F18" s="279">
        <v>359.5</v>
      </c>
      <c r="G18" s="279" t="s">
        <v>28</v>
      </c>
      <c r="H18" s="262">
        <v>360</v>
      </c>
      <c r="I18" s="274">
        <f>F18-H18</f>
        <v>-0.5</v>
      </c>
      <c r="J18" s="281"/>
      <c r="K18" s="262"/>
      <c r="L18" s="262"/>
      <c r="M18" s="262"/>
      <c r="N18" s="262"/>
      <c r="O18" s="262"/>
      <c r="P18" s="264"/>
      <c r="Q18" s="264"/>
      <c r="R18" s="264"/>
      <c r="S18" s="264"/>
      <c r="T18" s="264"/>
      <c r="U18" s="65" t="s">
        <v>465</v>
      </c>
      <c r="V18" s="50">
        <v>25</v>
      </c>
      <c r="W18" s="50">
        <f>H18/V18</f>
        <v>14.4</v>
      </c>
      <c r="X18" s="60" t="str">
        <f>'[1]bang gia'!$C$46</f>
        <v>đồng/cây</v>
      </c>
      <c r="Y18" s="48">
        <v>20</v>
      </c>
      <c r="Z18" s="48"/>
      <c r="AA18" s="56"/>
      <c r="AB18" s="60"/>
      <c r="AC18" s="35"/>
      <c r="AD18" s="264">
        <f>SUM(AC18:AC24)</f>
        <v>72000000</v>
      </c>
      <c r="AE18" s="268"/>
      <c r="AF18" s="278" t="s">
        <v>415</v>
      </c>
      <c r="AG18" s="59"/>
      <c r="AH18" s="59"/>
      <c r="AI18" s="181"/>
      <c r="AJ18" s="181"/>
      <c r="AK18" s="296"/>
      <c r="AL18" s="296"/>
      <c r="AM18" s="296"/>
      <c r="AN18" s="296"/>
      <c r="AO18" s="296"/>
      <c r="AP18" s="296"/>
      <c r="AQ18" s="296"/>
      <c r="AR18" s="296"/>
      <c r="AS18" s="296"/>
      <c r="AT18" s="296"/>
      <c r="AU18" s="296"/>
      <c r="AV18" s="296"/>
      <c r="AW18" s="296"/>
      <c r="AX18" s="296"/>
      <c r="AY18" s="296"/>
      <c r="AZ18" s="296"/>
      <c r="BA18" s="296"/>
      <c r="BB18" s="296"/>
      <c r="BC18" s="296"/>
      <c r="BD18" s="296"/>
      <c r="BE18" s="296"/>
      <c r="BF18" s="296"/>
      <c r="BG18" s="296"/>
      <c r="BH18" s="296"/>
      <c r="BI18" s="296"/>
      <c r="BJ18" s="296"/>
      <c r="BK18" s="296"/>
      <c r="BL18" s="296"/>
      <c r="BM18" s="296"/>
      <c r="BN18" s="296"/>
    </row>
    <row r="19" spans="1:66" s="25" customFormat="1" ht="22.5" customHeight="1">
      <c r="A19" s="262"/>
      <c r="B19" s="258"/>
      <c r="C19" s="56"/>
      <c r="D19" s="279"/>
      <c r="E19" s="279"/>
      <c r="F19" s="279"/>
      <c r="G19" s="279"/>
      <c r="H19" s="262"/>
      <c r="I19" s="275"/>
      <c r="J19" s="281"/>
      <c r="K19" s="262"/>
      <c r="L19" s="262"/>
      <c r="M19" s="262"/>
      <c r="N19" s="262"/>
      <c r="O19" s="262"/>
      <c r="P19" s="264"/>
      <c r="Q19" s="264"/>
      <c r="R19" s="264"/>
      <c r="S19" s="264"/>
      <c r="T19" s="264"/>
      <c r="U19" s="67" t="s">
        <v>421</v>
      </c>
      <c r="V19" s="50"/>
      <c r="W19" s="50"/>
      <c r="X19" s="60" t="str">
        <f>'[1]bang gia'!$C$46</f>
        <v>đồng/cây</v>
      </c>
      <c r="Y19" s="48">
        <v>14</v>
      </c>
      <c r="Z19" s="48">
        <f>'[1]bang gia'!$D$46</f>
        <v>4500000</v>
      </c>
      <c r="AA19" s="56"/>
      <c r="AB19" s="57">
        <v>1</v>
      </c>
      <c r="AC19" s="35">
        <f t="shared" ref="AC19:AC21" si="1">Y19*Z19*AB19</f>
        <v>63000000</v>
      </c>
      <c r="AD19" s="264"/>
      <c r="AE19" s="268"/>
      <c r="AF19" s="278"/>
      <c r="AG19" s="59"/>
      <c r="AH19" s="59"/>
      <c r="AI19" s="181"/>
      <c r="AJ19" s="181"/>
      <c r="AK19" s="296"/>
      <c r="AL19" s="296"/>
      <c r="AM19" s="296"/>
      <c r="AN19" s="296"/>
      <c r="AO19" s="296"/>
      <c r="AP19" s="296"/>
      <c r="AQ19" s="296"/>
      <c r="AR19" s="296"/>
      <c r="AS19" s="296"/>
      <c r="AT19" s="296"/>
      <c r="AU19" s="296"/>
      <c r="AV19" s="296"/>
      <c r="AW19" s="296"/>
      <c r="AX19" s="296"/>
      <c r="AY19" s="296"/>
      <c r="AZ19" s="296"/>
      <c r="BA19" s="296"/>
      <c r="BB19" s="296"/>
      <c r="BC19" s="296"/>
      <c r="BD19" s="296"/>
      <c r="BE19" s="296"/>
      <c r="BF19" s="296"/>
      <c r="BG19" s="296"/>
      <c r="BH19" s="296"/>
      <c r="BI19" s="296"/>
      <c r="BJ19" s="296"/>
      <c r="BK19" s="296"/>
      <c r="BL19" s="296"/>
      <c r="BM19" s="296"/>
      <c r="BN19" s="296"/>
    </row>
    <row r="20" spans="1:66" s="25" customFormat="1" ht="22.5" customHeight="1">
      <c r="A20" s="262"/>
      <c r="B20" s="258"/>
      <c r="C20" s="56"/>
      <c r="D20" s="279"/>
      <c r="E20" s="279"/>
      <c r="F20" s="279"/>
      <c r="G20" s="279"/>
      <c r="H20" s="262"/>
      <c r="I20" s="275"/>
      <c r="J20" s="281"/>
      <c r="K20" s="262"/>
      <c r="L20" s="262"/>
      <c r="M20" s="262"/>
      <c r="N20" s="262"/>
      <c r="O20" s="262"/>
      <c r="P20" s="264"/>
      <c r="Q20" s="264"/>
      <c r="R20" s="264"/>
      <c r="S20" s="264"/>
      <c r="T20" s="264"/>
      <c r="U20" s="67" t="s">
        <v>423</v>
      </c>
      <c r="V20" s="50"/>
      <c r="W20" s="50">
        <f>W18*0.3</f>
        <v>4.32</v>
      </c>
      <c r="X20" s="60" t="str">
        <f>'[1]bang gia'!$C$46</f>
        <v>đồng/cây</v>
      </c>
      <c r="Y20" s="48">
        <v>4</v>
      </c>
      <c r="Z20" s="48">
        <f>'[1]bang gia'!$D$46</f>
        <v>4500000</v>
      </c>
      <c r="AA20" s="56"/>
      <c r="AB20" s="57">
        <v>0.5</v>
      </c>
      <c r="AC20" s="35">
        <f t="shared" si="1"/>
        <v>9000000</v>
      </c>
      <c r="AD20" s="264"/>
      <c r="AE20" s="268"/>
      <c r="AF20" s="58"/>
      <c r="AG20" s="59"/>
      <c r="AH20" s="59"/>
      <c r="AI20" s="181"/>
      <c r="AJ20" s="181"/>
      <c r="AK20" s="296"/>
      <c r="AL20" s="296"/>
      <c r="AM20" s="296"/>
      <c r="AN20" s="296"/>
      <c r="AO20" s="296"/>
      <c r="AP20" s="296"/>
      <c r="AQ20" s="296"/>
      <c r="AR20" s="296"/>
      <c r="AS20" s="296"/>
      <c r="AT20" s="296"/>
      <c r="AU20" s="296"/>
      <c r="AV20" s="296"/>
      <c r="AW20" s="296"/>
      <c r="AX20" s="296"/>
      <c r="AY20" s="296"/>
      <c r="AZ20" s="296"/>
      <c r="BA20" s="296"/>
      <c r="BB20" s="296"/>
      <c r="BC20" s="296"/>
      <c r="BD20" s="296"/>
      <c r="BE20" s="296"/>
      <c r="BF20" s="296"/>
      <c r="BG20" s="296"/>
      <c r="BH20" s="296"/>
      <c r="BI20" s="296"/>
      <c r="BJ20" s="296"/>
      <c r="BK20" s="296"/>
      <c r="BL20" s="296"/>
      <c r="BM20" s="296"/>
      <c r="BN20" s="296"/>
    </row>
    <row r="21" spans="1:66" s="25" customFormat="1" ht="22.5" customHeight="1">
      <c r="A21" s="262"/>
      <c r="B21" s="258"/>
      <c r="C21" s="56"/>
      <c r="D21" s="279"/>
      <c r="E21" s="279"/>
      <c r="F21" s="279"/>
      <c r="G21" s="279"/>
      <c r="H21" s="262"/>
      <c r="I21" s="275"/>
      <c r="J21" s="281"/>
      <c r="K21" s="262"/>
      <c r="L21" s="262"/>
      <c r="M21" s="262"/>
      <c r="N21" s="262"/>
      <c r="O21" s="262"/>
      <c r="P21" s="264"/>
      <c r="Q21" s="264"/>
      <c r="R21" s="264"/>
      <c r="S21" s="264"/>
      <c r="T21" s="264"/>
      <c r="U21" s="67" t="s">
        <v>424</v>
      </c>
      <c r="V21" s="50"/>
      <c r="W21" s="50"/>
      <c r="X21" s="60" t="str">
        <f>'[1]bang gia'!$C$46</f>
        <v>đồng/cây</v>
      </c>
      <c r="Y21" s="48">
        <v>2</v>
      </c>
      <c r="Z21" s="48">
        <f>'[1]bang gia'!$D$46</f>
        <v>4500000</v>
      </c>
      <c r="AA21" s="56"/>
      <c r="AB21" s="57">
        <v>0</v>
      </c>
      <c r="AC21" s="35">
        <f t="shared" si="1"/>
        <v>0</v>
      </c>
      <c r="AD21" s="264"/>
      <c r="AE21" s="268"/>
      <c r="AF21" s="58"/>
      <c r="AG21" s="59"/>
      <c r="AH21" s="59"/>
      <c r="AI21" s="181"/>
      <c r="AJ21" s="181"/>
      <c r="AK21" s="296"/>
      <c r="AL21" s="296"/>
      <c r="AM21" s="296"/>
      <c r="AN21" s="296"/>
      <c r="AO21" s="296"/>
      <c r="AP21" s="296"/>
      <c r="AQ21" s="296"/>
      <c r="AR21" s="296"/>
      <c r="AS21" s="296"/>
      <c r="AT21" s="296"/>
      <c r="AU21" s="296"/>
      <c r="AV21" s="296"/>
      <c r="AW21" s="296"/>
      <c r="AX21" s="296"/>
      <c r="AY21" s="296"/>
      <c r="AZ21" s="296"/>
      <c r="BA21" s="296"/>
      <c r="BB21" s="296"/>
      <c r="BC21" s="296"/>
      <c r="BD21" s="296"/>
      <c r="BE21" s="296"/>
      <c r="BF21" s="296"/>
      <c r="BG21" s="296"/>
      <c r="BH21" s="296"/>
      <c r="BI21" s="296"/>
      <c r="BJ21" s="296"/>
      <c r="BK21" s="296"/>
      <c r="BL21" s="296"/>
      <c r="BM21" s="296"/>
      <c r="BN21" s="296"/>
    </row>
    <row r="22" spans="1:66" s="25" customFormat="1" ht="33.75" customHeight="1">
      <c r="A22" s="262"/>
      <c r="B22" s="258"/>
      <c r="C22" s="56"/>
      <c r="D22" s="279"/>
      <c r="E22" s="279"/>
      <c r="F22" s="279"/>
      <c r="G22" s="279"/>
      <c r="H22" s="262"/>
      <c r="I22" s="275"/>
      <c r="J22" s="281"/>
      <c r="K22" s="262"/>
      <c r="L22" s="262"/>
      <c r="M22" s="262"/>
      <c r="N22" s="262"/>
      <c r="O22" s="262"/>
      <c r="P22" s="264"/>
      <c r="Q22" s="264"/>
      <c r="R22" s="264"/>
      <c r="S22" s="264"/>
      <c r="T22" s="264"/>
      <c r="U22" s="69" t="s">
        <v>601</v>
      </c>
      <c r="V22" s="39"/>
      <c r="W22" s="39"/>
      <c r="X22" s="39" t="s">
        <v>6</v>
      </c>
      <c r="Y22" s="48">
        <f>144*1</f>
        <v>144</v>
      </c>
      <c r="Z22" s="39"/>
      <c r="AA22" s="56"/>
      <c r="AB22" s="57">
        <v>0</v>
      </c>
      <c r="AC22" s="60">
        <v>0</v>
      </c>
      <c r="AD22" s="262"/>
      <c r="AE22" s="268"/>
      <c r="AF22" s="58"/>
      <c r="AG22" s="59"/>
      <c r="AH22" s="59"/>
      <c r="AI22" s="181"/>
      <c r="AJ22" s="181"/>
      <c r="AK22" s="296"/>
      <c r="AL22" s="296"/>
      <c r="AM22" s="296"/>
      <c r="AN22" s="296"/>
      <c r="AO22" s="296"/>
      <c r="AP22" s="296"/>
      <c r="AQ22" s="296"/>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row>
    <row r="23" spans="1:66" s="25" customFormat="1" ht="27" customHeight="1">
      <c r="A23" s="262"/>
      <c r="B23" s="258"/>
      <c r="C23" s="56"/>
      <c r="D23" s="279"/>
      <c r="E23" s="279"/>
      <c r="F23" s="279"/>
      <c r="G23" s="279"/>
      <c r="H23" s="262"/>
      <c r="I23" s="275"/>
      <c r="J23" s="281"/>
      <c r="K23" s="262"/>
      <c r="L23" s="262"/>
      <c r="M23" s="262"/>
      <c r="N23" s="262"/>
      <c r="O23" s="262"/>
      <c r="P23" s="264"/>
      <c r="Q23" s="264"/>
      <c r="R23" s="264"/>
      <c r="S23" s="264"/>
      <c r="T23" s="264"/>
      <c r="U23" s="49" t="s">
        <v>602</v>
      </c>
      <c r="V23" s="39"/>
      <c r="W23" s="39"/>
      <c r="X23" s="60" t="s">
        <v>628</v>
      </c>
      <c r="Y23" s="70">
        <v>1.2</v>
      </c>
      <c r="Z23" s="60"/>
      <c r="AA23" s="56"/>
      <c r="AB23" s="57">
        <v>0</v>
      </c>
      <c r="AC23" s="60">
        <v>0</v>
      </c>
      <c r="AD23" s="262"/>
      <c r="AE23" s="268"/>
      <c r="AF23" s="58"/>
      <c r="AG23" s="59"/>
      <c r="AH23" s="59"/>
      <c r="AI23" s="181"/>
      <c r="AJ23" s="181"/>
      <c r="AK23" s="296"/>
      <c r="AL23" s="296"/>
      <c r="AM23" s="296"/>
      <c r="AN23" s="296"/>
      <c r="AO23" s="296"/>
      <c r="AP23" s="296"/>
      <c r="AQ23" s="296"/>
      <c r="AR23" s="296"/>
      <c r="AS23" s="296"/>
      <c r="AT23" s="296"/>
      <c r="AU23" s="296"/>
      <c r="AV23" s="296"/>
      <c r="AW23" s="296"/>
      <c r="AX23" s="296"/>
      <c r="AY23" s="296"/>
      <c r="AZ23" s="296"/>
      <c r="BA23" s="296"/>
      <c r="BB23" s="296"/>
      <c r="BC23" s="296"/>
      <c r="BD23" s="296"/>
      <c r="BE23" s="296"/>
      <c r="BF23" s="296"/>
      <c r="BG23" s="296"/>
      <c r="BH23" s="296"/>
      <c r="BI23" s="296"/>
      <c r="BJ23" s="296"/>
      <c r="BK23" s="296"/>
      <c r="BL23" s="296"/>
      <c r="BM23" s="296"/>
      <c r="BN23" s="296"/>
    </row>
    <row r="24" spans="1:66" s="25" customFormat="1" ht="27" customHeight="1">
      <c r="A24" s="262"/>
      <c r="B24" s="258"/>
      <c r="C24" s="56"/>
      <c r="D24" s="279"/>
      <c r="E24" s="279"/>
      <c r="F24" s="279"/>
      <c r="G24" s="279"/>
      <c r="H24" s="262"/>
      <c r="I24" s="276"/>
      <c r="J24" s="282"/>
      <c r="K24" s="262"/>
      <c r="L24" s="262"/>
      <c r="M24" s="262"/>
      <c r="N24" s="262"/>
      <c r="O24" s="262"/>
      <c r="P24" s="264"/>
      <c r="Q24" s="264"/>
      <c r="R24" s="264"/>
      <c r="S24" s="264"/>
      <c r="T24" s="264"/>
      <c r="U24" s="49" t="s">
        <v>603</v>
      </c>
      <c r="V24" s="39"/>
      <c r="W24" s="39"/>
      <c r="X24" s="39" t="s">
        <v>399</v>
      </c>
      <c r="Y24" s="35">
        <v>1</v>
      </c>
      <c r="Z24" s="48"/>
      <c r="AA24" s="56"/>
      <c r="AB24" s="57">
        <v>0</v>
      </c>
      <c r="AC24" s="60">
        <v>0</v>
      </c>
      <c r="AD24" s="262"/>
      <c r="AE24" s="268"/>
      <c r="AF24" s="58"/>
      <c r="AG24" s="59"/>
      <c r="AH24" s="59"/>
      <c r="AI24" s="181"/>
      <c r="AJ24" s="181"/>
      <c r="AK24" s="296"/>
      <c r="AL24" s="296"/>
      <c r="AM24" s="296"/>
      <c r="AN24" s="296"/>
      <c r="AO24" s="296"/>
      <c r="AP24" s="296"/>
      <c r="AQ24" s="296"/>
      <c r="AR24" s="296"/>
      <c r="AS24" s="296"/>
      <c r="AT24" s="296"/>
      <c r="AU24" s="296"/>
      <c r="AV24" s="296"/>
      <c r="AW24" s="296"/>
      <c r="AX24" s="296"/>
      <c r="AY24" s="296"/>
      <c r="AZ24" s="296"/>
      <c r="BA24" s="296"/>
      <c r="BB24" s="296"/>
      <c r="BC24" s="296"/>
      <c r="BD24" s="296"/>
      <c r="BE24" s="296"/>
      <c r="BF24" s="296"/>
      <c r="BG24" s="296"/>
      <c r="BH24" s="296"/>
      <c r="BI24" s="296"/>
      <c r="BJ24" s="296"/>
      <c r="BK24" s="296"/>
      <c r="BL24" s="296"/>
      <c r="BM24" s="296"/>
      <c r="BN24" s="296"/>
    </row>
    <row r="25" spans="1:66" s="25" customFormat="1" ht="35.25" customHeight="1">
      <c r="A25" s="60">
        <v>6</v>
      </c>
      <c r="B25" s="49" t="s">
        <v>590</v>
      </c>
      <c r="C25" s="56"/>
      <c r="D25" s="63">
        <v>64</v>
      </c>
      <c r="E25" s="63">
        <v>383</v>
      </c>
      <c r="F25" s="63">
        <v>253</v>
      </c>
      <c r="G25" s="63" t="s">
        <v>397</v>
      </c>
      <c r="H25" s="60">
        <v>252</v>
      </c>
      <c r="I25" s="60">
        <f>F25-H25</f>
        <v>1</v>
      </c>
      <c r="J25" s="64">
        <v>252</v>
      </c>
      <c r="K25" s="60">
        <v>648</v>
      </c>
      <c r="L25" s="60"/>
      <c r="M25" s="64">
        <f>J25/K25*100</f>
        <v>38.888888888888893</v>
      </c>
      <c r="N25" s="48">
        <f>IF(M25&lt;10,2,IF(M25&lt;20,3,IF(M25&lt;30,5,IF(M25&gt;=70,12,IF(M25&gt;=30,6)))))</f>
        <v>6</v>
      </c>
      <c r="O25" s="48">
        <v>3</v>
      </c>
      <c r="P25" s="48">
        <f>$P$6</f>
        <v>80000</v>
      </c>
      <c r="Q25" s="48">
        <f>J25*P25</f>
        <v>20160000</v>
      </c>
      <c r="R25" s="48">
        <f>Q25*3</f>
        <v>60480000</v>
      </c>
      <c r="S25" s="48">
        <f>N25*O25*17000*30</f>
        <v>9180000</v>
      </c>
      <c r="T25" s="48">
        <f>S25+R25+Q25</f>
        <v>89820000</v>
      </c>
      <c r="U25" s="49" t="s">
        <v>591</v>
      </c>
      <c r="V25" s="50"/>
      <c r="W25" s="50"/>
      <c r="X25" s="50" t="s">
        <v>0</v>
      </c>
      <c r="Y25" s="35">
        <v>252</v>
      </c>
      <c r="Z25" s="48">
        <v>97000</v>
      </c>
      <c r="AA25" s="56"/>
      <c r="AB25" s="57">
        <v>1</v>
      </c>
      <c r="AC25" s="35">
        <f>Y25*Z25*AB25</f>
        <v>24444000</v>
      </c>
      <c r="AD25" s="48">
        <f>AC25</f>
        <v>24444000</v>
      </c>
      <c r="AE25" s="66">
        <f>AD25+T25</f>
        <v>114264000</v>
      </c>
      <c r="AF25" s="58"/>
      <c r="AG25" s="59"/>
      <c r="AH25" s="59"/>
      <c r="AI25" s="181"/>
      <c r="AJ25" s="181"/>
      <c r="AK25" s="296"/>
      <c r="AL25" s="296"/>
      <c r="AM25" s="296"/>
      <c r="AN25" s="296"/>
      <c r="AO25" s="296"/>
      <c r="AP25" s="296"/>
      <c r="AQ25" s="296"/>
      <c r="AR25" s="296"/>
      <c r="AS25" s="296"/>
      <c r="AT25" s="296"/>
      <c r="AU25" s="296"/>
      <c r="AV25" s="296"/>
      <c r="AW25" s="296"/>
      <c r="AX25" s="296"/>
      <c r="AY25" s="296"/>
      <c r="AZ25" s="296"/>
      <c r="BA25" s="296"/>
      <c r="BB25" s="296"/>
      <c r="BC25" s="296"/>
      <c r="BD25" s="296"/>
      <c r="BE25" s="296"/>
      <c r="BF25" s="296"/>
      <c r="BG25" s="296"/>
      <c r="BH25" s="296"/>
      <c r="BI25" s="296"/>
      <c r="BJ25" s="296"/>
      <c r="BK25" s="296"/>
      <c r="BL25" s="296"/>
      <c r="BM25" s="296"/>
      <c r="BN25" s="296"/>
    </row>
    <row r="26" spans="1:66" s="17" customFormat="1" ht="27" customHeight="1">
      <c r="A26" s="71"/>
      <c r="B26" s="72" t="s">
        <v>407</v>
      </c>
      <c r="C26" s="73"/>
      <c r="D26" s="74"/>
      <c r="E26" s="74"/>
      <c r="F26" s="74"/>
      <c r="G26" s="74"/>
      <c r="H26" s="71"/>
      <c r="I26" s="75"/>
      <c r="J26" s="60"/>
      <c r="K26" s="60"/>
      <c r="L26" s="71"/>
      <c r="M26" s="76"/>
      <c r="N26" s="66"/>
      <c r="O26" s="66"/>
      <c r="P26" s="66"/>
      <c r="Q26" s="66"/>
      <c r="R26" s="66"/>
      <c r="S26" s="66"/>
      <c r="T26" s="66"/>
      <c r="U26" s="36"/>
      <c r="V26" s="75"/>
      <c r="W26" s="75"/>
      <c r="X26" s="71"/>
      <c r="Y26" s="66"/>
      <c r="Z26" s="66"/>
      <c r="AA26" s="73"/>
      <c r="AB26" s="30"/>
      <c r="AC26" s="32"/>
      <c r="AD26" s="66"/>
      <c r="AE26" s="66"/>
      <c r="AF26" s="77"/>
      <c r="AG26" s="78"/>
      <c r="AH26" s="78"/>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row>
    <row r="27" spans="1:66" s="19" customFormat="1" ht="37.5" customHeight="1">
      <c r="A27" s="262">
        <v>7</v>
      </c>
      <c r="B27" s="263" t="s">
        <v>466</v>
      </c>
      <c r="C27" s="60"/>
      <c r="D27" s="258">
        <v>64</v>
      </c>
      <c r="E27" s="258">
        <v>418</v>
      </c>
      <c r="F27" s="258">
        <v>1074.5999999999999</v>
      </c>
      <c r="G27" s="258" t="s">
        <v>28</v>
      </c>
      <c r="H27" s="250">
        <v>1080</v>
      </c>
      <c r="I27" s="256">
        <f>F27-H27</f>
        <v>-5.4000000000000909</v>
      </c>
      <c r="J27" s="264">
        <v>1080</v>
      </c>
      <c r="K27" s="264">
        <v>1440</v>
      </c>
      <c r="L27" s="60"/>
      <c r="M27" s="269">
        <f>J27/K27*100</f>
        <v>75</v>
      </c>
      <c r="N27" s="264">
        <v>12</v>
      </c>
      <c r="O27" s="264">
        <v>7</v>
      </c>
      <c r="P27" s="264">
        <v>80000</v>
      </c>
      <c r="Q27" s="264">
        <f>P27*J27</f>
        <v>86400000</v>
      </c>
      <c r="R27" s="264">
        <f>Q27*3</f>
        <v>259200000</v>
      </c>
      <c r="S27" s="264">
        <f>N27*O27*17000*30</f>
        <v>42840000</v>
      </c>
      <c r="T27" s="264">
        <f>SUM(Q27:S40)</f>
        <v>388440000</v>
      </c>
      <c r="U27" s="65" t="s">
        <v>457</v>
      </c>
      <c r="V27" s="109">
        <v>25</v>
      </c>
      <c r="W27" s="109">
        <f>(H27-Y29-6-1)/V27</f>
        <v>21.32</v>
      </c>
      <c r="X27" s="39" t="s">
        <v>2</v>
      </c>
      <c r="Y27" s="35">
        <v>14</v>
      </c>
      <c r="Z27" s="62"/>
      <c r="AA27" s="79"/>
      <c r="AB27" s="80"/>
      <c r="AC27" s="35"/>
      <c r="AD27" s="250">
        <f>SUM(AC27:AC40)</f>
        <v>173950000</v>
      </c>
      <c r="AE27" s="251">
        <f>T27+AD27</f>
        <v>562390000</v>
      </c>
      <c r="AF27" s="31" t="s">
        <v>428</v>
      </c>
      <c r="AG27" s="81"/>
      <c r="AH27" s="81"/>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c r="BE27" s="153"/>
      <c r="BF27" s="153"/>
      <c r="BG27" s="153"/>
      <c r="BH27" s="153"/>
      <c r="BI27" s="153"/>
      <c r="BJ27" s="153"/>
      <c r="BK27" s="153"/>
      <c r="BL27" s="153"/>
      <c r="BM27" s="153"/>
      <c r="BN27" s="153"/>
    </row>
    <row r="28" spans="1:66" s="19" customFormat="1" ht="21.75" customHeight="1">
      <c r="A28" s="262"/>
      <c r="B28" s="263"/>
      <c r="C28" s="60"/>
      <c r="D28" s="258"/>
      <c r="E28" s="258"/>
      <c r="F28" s="258"/>
      <c r="G28" s="258"/>
      <c r="H28" s="250"/>
      <c r="I28" s="256"/>
      <c r="J28" s="264"/>
      <c r="K28" s="264"/>
      <c r="L28" s="60"/>
      <c r="M28" s="269"/>
      <c r="N28" s="264"/>
      <c r="O28" s="264"/>
      <c r="P28" s="264"/>
      <c r="Q28" s="264"/>
      <c r="R28" s="264"/>
      <c r="S28" s="264"/>
      <c r="T28" s="264"/>
      <c r="U28" s="67" t="s">
        <v>421</v>
      </c>
      <c r="V28" s="109"/>
      <c r="W28" s="109"/>
      <c r="X28" s="39" t="s">
        <v>2</v>
      </c>
      <c r="Y28" s="35">
        <v>14</v>
      </c>
      <c r="Z28" s="62">
        <v>4500000</v>
      </c>
      <c r="AA28" s="79"/>
      <c r="AB28" s="80">
        <v>1</v>
      </c>
      <c r="AC28" s="35">
        <f>Y28*Z28*AB28</f>
        <v>63000000</v>
      </c>
      <c r="AD28" s="250"/>
      <c r="AE28" s="251"/>
      <c r="AF28" s="31"/>
      <c r="AG28" s="81"/>
      <c r="AH28" s="81"/>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c r="BE28" s="153"/>
      <c r="BF28" s="153"/>
      <c r="BG28" s="153"/>
      <c r="BH28" s="153"/>
      <c r="BI28" s="153"/>
      <c r="BJ28" s="153"/>
      <c r="BK28" s="153"/>
      <c r="BL28" s="153"/>
      <c r="BM28" s="153"/>
      <c r="BN28" s="153"/>
    </row>
    <row r="29" spans="1:66" s="19" customFormat="1" ht="21.75" customHeight="1">
      <c r="A29" s="262"/>
      <c r="B29" s="263"/>
      <c r="C29" s="60"/>
      <c r="D29" s="258"/>
      <c r="E29" s="258"/>
      <c r="F29" s="258"/>
      <c r="G29" s="258"/>
      <c r="H29" s="250"/>
      <c r="I29" s="256"/>
      <c r="J29" s="264"/>
      <c r="K29" s="264"/>
      <c r="L29" s="60"/>
      <c r="M29" s="269"/>
      <c r="N29" s="264"/>
      <c r="O29" s="264"/>
      <c r="P29" s="264"/>
      <c r="Q29" s="264"/>
      <c r="R29" s="264"/>
      <c r="S29" s="264"/>
      <c r="T29" s="264"/>
      <c r="U29" s="82" t="s">
        <v>467</v>
      </c>
      <c r="V29" s="109"/>
      <c r="W29" s="109"/>
      <c r="X29" s="39" t="s">
        <v>0</v>
      </c>
      <c r="Y29" s="83">
        <v>540</v>
      </c>
      <c r="Z29" s="62">
        <v>180000</v>
      </c>
      <c r="AA29" s="84"/>
      <c r="AB29" s="68">
        <v>1</v>
      </c>
      <c r="AC29" s="35">
        <f>Y29*Z29*AB29</f>
        <v>97200000</v>
      </c>
      <c r="AD29" s="250"/>
      <c r="AE29" s="251"/>
      <c r="AF29" s="31"/>
      <c r="AG29" s="81"/>
      <c r="AH29" s="81"/>
      <c r="AI29" s="153"/>
      <c r="AJ29" s="153"/>
      <c r="AK29" s="153"/>
      <c r="AL29" s="153"/>
      <c r="AM29" s="153"/>
      <c r="AN29" s="153"/>
      <c r="AO29" s="153"/>
      <c r="AP29" s="153"/>
      <c r="AQ29" s="153"/>
      <c r="AR29" s="153"/>
      <c r="AS29" s="153"/>
      <c r="AT29" s="153"/>
      <c r="AU29" s="153"/>
      <c r="AV29" s="153"/>
      <c r="AW29" s="153"/>
      <c r="AX29" s="153"/>
      <c r="AY29" s="153"/>
      <c r="AZ29" s="153"/>
      <c r="BA29" s="153"/>
      <c r="BB29" s="153"/>
      <c r="BC29" s="153"/>
      <c r="BD29" s="153"/>
      <c r="BE29" s="153"/>
      <c r="BF29" s="153"/>
      <c r="BG29" s="153"/>
      <c r="BH29" s="153"/>
      <c r="BI29" s="153"/>
      <c r="BJ29" s="153"/>
      <c r="BK29" s="153"/>
      <c r="BL29" s="153"/>
      <c r="BM29" s="153"/>
      <c r="BN29" s="153"/>
    </row>
    <row r="30" spans="1:66" s="19" customFormat="1" ht="33.75" customHeight="1">
      <c r="A30" s="262"/>
      <c r="B30" s="263"/>
      <c r="C30" s="60"/>
      <c r="D30" s="258"/>
      <c r="E30" s="258"/>
      <c r="F30" s="258"/>
      <c r="G30" s="258"/>
      <c r="H30" s="250"/>
      <c r="I30" s="256"/>
      <c r="J30" s="264"/>
      <c r="K30" s="264"/>
      <c r="L30" s="60"/>
      <c r="M30" s="269"/>
      <c r="N30" s="264"/>
      <c r="O30" s="264"/>
      <c r="P30" s="264"/>
      <c r="Q30" s="264"/>
      <c r="R30" s="264"/>
      <c r="S30" s="264"/>
      <c r="T30" s="264"/>
      <c r="U30" s="65" t="s">
        <v>468</v>
      </c>
      <c r="V30" s="109"/>
      <c r="W30" s="109"/>
      <c r="X30" s="39" t="s">
        <v>2</v>
      </c>
      <c r="Y30" s="35">
        <v>5</v>
      </c>
      <c r="Z30" s="62"/>
      <c r="AA30" s="79"/>
      <c r="AB30" s="80"/>
      <c r="AC30" s="35">
        <f t="shared" ref="AC30:AC31" si="2">Y30*Z30*AB30</f>
        <v>0</v>
      </c>
      <c r="AD30" s="250"/>
      <c r="AE30" s="251"/>
      <c r="AF30" s="31"/>
      <c r="AG30" s="81"/>
      <c r="AH30" s="81"/>
      <c r="AI30" s="153"/>
      <c r="AJ30" s="153"/>
      <c r="AK30" s="153"/>
      <c r="AL30" s="153"/>
      <c r="AM30" s="153"/>
      <c r="AN30" s="153"/>
      <c r="AO30" s="153"/>
      <c r="AP30" s="153"/>
      <c r="AQ30" s="153"/>
      <c r="AR30" s="153"/>
      <c r="AS30" s="153"/>
      <c r="AT30" s="153"/>
      <c r="AU30" s="153"/>
      <c r="AV30" s="153"/>
      <c r="AW30" s="153"/>
      <c r="AX30" s="153"/>
      <c r="AY30" s="153"/>
      <c r="AZ30" s="153"/>
      <c r="BA30" s="153"/>
      <c r="BB30" s="153"/>
      <c r="BC30" s="153"/>
      <c r="BD30" s="153"/>
      <c r="BE30" s="153"/>
      <c r="BF30" s="153"/>
      <c r="BG30" s="153"/>
      <c r="BH30" s="153"/>
      <c r="BI30" s="153"/>
      <c r="BJ30" s="153"/>
      <c r="BK30" s="153"/>
      <c r="BL30" s="153"/>
      <c r="BM30" s="153"/>
      <c r="BN30" s="153"/>
    </row>
    <row r="31" spans="1:66" s="19" customFormat="1" ht="21.75" customHeight="1">
      <c r="A31" s="262"/>
      <c r="B31" s="263"/>
      <c r="C31" s="60"/>
      <c r="D31" s="258"/>
      <c r="E31" s="258"/>
      <c r="F31" s="258"/>
      <c r="G31" s="258"/>
      <c r="H31" s="250"/>
      <c r="I31" s="256"/>
      <c r="J31" s="264"/>
      <c r="K31" s="264"/>
      <c r="L31" s="60"/>
      <c r="M31" s="269"/>
      <c r="N31" s="264"/>
      <c r="O31" s="264"/>
      <c r="P31" s="264"/>
      <c r="Q31" s="264"/>
      <c r="R31" s="264"/>
      <c r="S31" s="264"/>
      <c r="T31" s="264"/>
      <c r="U31" s="67" t="s">
        <v>421</v>
      </c>
      <c r="V31" s="109">
        <v>20</v>
      </c>
      <c r="W31" s="109">
        <f>(1080-Y29-6-1)/V31</f>
        <v>26.65</v>
      </c>
      <c r="X31" s="39" t="s">
        <v>2</v>
      </c>
      <c r="Y31" s="35">
        <v>5</v>
      </c>
      <c r="Z31" s="62">
        <v>2500000</v>
      </c>
      <c r="AA31" s="79"/>
      <c r="AB31" s="68">
        <v>0.5</v>
      </c>
      <c r="AC31" s="35">
        <f t="shared" si="2"/>
        <v>6250000</v>
      </c>
      <c r="AD31" s="250"/>
      <c r="AE31" s="251"/>
      <c r="AF31" s="31"/>
      <c r="AG31" s="81"/>
      <c r="AH31" s="81"/>
      <c r="AI31" s="153"/>
      <c r="AJ31" s="153"/>
      <c r="AK31" s="153"/>
      <c r="AL31" s="153"/>
      <c r="AM31" s="153"/>
      <c r="AN31" s="153"/>
      <c r="AO31" s="153"/>
      <c r="AP31" s="153"/>
      <c r="AQ31" s="153"/>
      <c r="AR31" s="153"/>
      <c r="AS31" s="153"/>
      <c r="AT31" s="153"/>
      <c r="AU31" s="153"/>
      <c r="AV31" s="153"/>
      <c r="AW31" s="153"/>
      <c r="AX31" s="153"/>
      <c r="AY31" s="153"/>
      <c r="AZ31" s="153"/>
      <c r="BA31" s="153"/>
      <c r="BB31" s="153"/>
      <c r="BC31" s="153"/>
      <c r="BD31" s="153"/>
      <c r="BE31" s="153"/>
      <c r="BF31" s="153"/>
      <c r="BG31" s="153"/>
      <c r="BH31" s="153"/>
      <c r="BI31" s="153"/>
      <c r="BJ31" s="153"/>
      <c r="BK31" s="153"/>
      <c r="BL31" s="153"/>
      <c r="BM31" s="153"/>
      <c r="BN31" s="153"/>
    </row>
    <row r="32" spans="1:66" s="19" customFormat="1" ht="33" customHeight="1">
      <c r="A32" s="262"/>
      <c r="B32" s="263"/>
      <c r="C32" s="60"/>
      <c r="D32" s="258"/>
      <c r="E32" s="258"/>
      <c r="F32" s="258"/>
      <c r="G32" s="258"/>
      <c r="H32" s="250"/>
      <c r="I32" s="256"/>
      <c r="J32" s="264"/>
      <c r="K32" s="264"/>
      <c r="L32" s="60"/>
      <c r="M32" s="269"/>
      <c r="N32" s="264"/>
      <c r="O32" s="264"/>
      <c r="P32" s="264"/>
      <c r="Q32" s="264"/>
      <c r="R32" s="264"/>
      <c r="S32" s="264"/>
      <c r="T32" s="264"/>
      <c r="U32" s="65" t="s">
        <v>469</v>
      </c>
      <c r="V32" s="109">
        <v>25</v>
      </c>
      <c r="W32" s="109">
        <f>(1080-Y30-6-1)/V32</f>
        <v>42.72</v>
      </c>
      <c r="X32" s="39" t="s">
        <v>2</v>
      </c>
      <c r="Y32" s="35">
        <v>15</v>
      </c>
      <c r="Z32" s="62"/>
      <c r="AA32" s="79"/>
      <c r="AB32" s="80"/>
      <c r="AC32" s="35"/>
      <c r="AD32" s="250"/>
      <c r="AE32" s="251"/>
      <c r="AF32" s="31"/>
      <c r="AG32" s="81"/>
      <c r="AH32" s="81"/>
      <c r="AI32" s="153"/>
      <c r="AJ32" s="153"/>
      <c r="AK32" s="153"/>
      <c r="AL32" s="153"/>
      <c r="AM32" s="153"/>
      <c r="AN32" s="153"/>
      <c r="AO32" s="153"/>
      <c r="AP32" s="153"/>
      <c r="AQ32" s="153"/>
      <c r="AR32" s="153"/>
      <c r="AS32" s="153"/>
      <c r="AT32" s="153"/>
      <c r="AU32" s="153"/>
      <c r="AV32" s="153"/>
      <c r="AW32" s="153"/>
      <c r="AX32" s="153"/>
      <c r="AY32" s="153"/>
      <c r="AZ32" s="153"/>
      <c r="BA32" s="153"/>
      <c r="BB32" s="153"/>
      <c r="BC32" s="153"/>
      <c r="BD32" s="153"/>
      <c r="BE32" s="153"/>
      <c r="BF32" s="153"/>
      <c r="BG32" s="153"/>
      <c r="BH32" s="153"/>
      <c r="BI32" s="153"/>
      <c r="BJ32" s="153"/>
      <c r="BK32" s="153"/>
      <c r="BL32" s="153"/>
      <c r="BM32" s="153"/>
      <c r="BN32" s="153"/>
    </row>
    <row r="33" spans="1:66" s="19" customFormat="1" ht="23.25" customHeight="1">
      <c r="A33" s="262"/>
      <c r="B33" s="263"/>
      <c r="C33" s="60"/>
      <c r="D33" s="258"/>
      <c r="E33" s="258"/>
      <c r="F33" s="258"/>
      <c r="G33" s="258"/>
      <c r="H33" s="250"/>
      <c r="I33" s="256"/>
      <c r="J33" s="264"/>
      <c r="K33" s="264"/>
      <c r="L33" s="60"/>
      <c r="M33" s="269"/>
      <c r="N33" s="264"/>
      <c r="O33" s="264"/>
      <c r="P33" s="264"/>
      <c r="Q33" s="264"/>
      <c r="R33" s="264"/>
      <c r="S33" s="264"/>
      <c r="T33" s="264"/>
      <c r="U33" s="67" t="s">
        <v>421</v>
      </c>
      <c r="V33" s="109"/>
      <c r="W33" s="109"/>
      <c r="X33" s="39" t="s">
        <v>2</v>
      </c>
      <c r="Y33" s="35">
        <v>15</v>
      </c>
      <c r="Z33" s="62">
        <v>1000000</v>
      </c>
      <c r="AA33" s="79"/>
      <c r="AB33" s="68">
        <v>0.5</v>
      </c>
      <c r="AC33" s="35">
        <f t="shared" ref="AC33:AC40" si="3">Y33*Z33*AB33</f>
        <v>7500000</v>
      </c>
      <c r="AD33" s="250"/>
      <c r="AE33" s="251"/>
      <c r="AF33" s="31"/>
      <c r="AG33" s="81"/>
      <c r="AH33" s="81"/>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c r="BE33" s="153"/>
      <c r="BF33" s="153"/>
      <c r="BG33" s="153"/>
      <c r="BH33" s="153"/>
      <c r="BI33" s="153"/>
      <c r="BJ33" s="153"/>
      <c r="BK33" s="153"/>
      <c r="BL33" s="153"/>
      <c r="BM33" s="153"/>
      <c r="BN33" s="153"/>
    </row>
    <row r="34" spans="1:66" s="19" customFormat="1" ht="51" customHeight="1">
      <c r="A34" s="262"/>
      <c r="B34" s="263"/>
      <c r="C34" s="60"/>
      <c r="D34" s="258"/>
      <c r="E34" s="258"/>
      <c r="F34" s="258"/>
      <c r="G34" s="258"/>
      <c r="H34" s="250"/>
      <c r="I34" s="256"/>
      <c r="J34" s="264"/>
      <c r="K34" s="264"/>
      <c r="L34" s="60"/>
      <c r="M34" s="269"/>
      <c r="N34" s="264"/>
      <c r="O34" s="264"/>
      <c r="P34" s="264"/>
      <c r="Q34" s="264"/>
      <c r="R34" s="264"/>
      <c r="S34" s="264"/>
      <c r="T34" s="264"/>
      <c r="U34" s="49" t="s">
        <v>470</v>
      </c>
      <c r="V34" s="109"/>
      <c r="W34" s="109"/>
      <c r="X34" s="39" t="s">
        <v>0</v>
      </c>
      <c r="Y34" s="35">
        <v>161</v>
      </c>
      <c r="Z34" s="62"/>
      <c r="AA34" s="79"/>
      <c r="AB34" s="80">
        <v>0</v>
      </c>
      <c r="AC34" s="35">
        <f t="shared" si="3"/>
        <v>0</v>
      </c>
      <c r="AD34" s="250"/>
      <c r="AE34" s="251"/>
      <c r="AF34" s="31"/>
      <c r="AG34" s="81"/>
      <c r="AH34" s="81"/>
      <c r="AI34" s="153"/>
      <c r="AJ34" s="153"/>
      <c r="AK34" s="153"/>
      <c r="AL34" s="153"/>
      <c r="AM34" s="153"/>
      <c r="AN34" s="153"/>
      <c r="AO34" s="153"/>
      <c r="AP34" s="153"/>
      <c r="AQ34" s="153"/>
      <c r="AR34" s="153"/>
      <c r="AS34" s="153"/>
      <c r="AT34" s="153"/>
      <c r="AU34" s="153"/>
      <c r="AV34" s="153"/>
      <c r="AW34" s="153"/>
      <c r="AX34" s="153"/>
      <c r="AY34" s="153"/>
      <c r="AZ34" s="153"/>
      <c r="BA34" s="153"/>
      <c r="BB34" s="153"/>
      <c r="BC34" s="153"/>
      <c r="BD34" s="153"/>
      <c r="BE34" s="153"/>
      <c r="BF34" s="153"/>
      <c r="BG34" s="153"/>
      <c r="BH34" s="153"/>
      <c r="BI34" s="153"/>
      <c r="BJ34" s="153"/>
      <c r="BK34" s="153"/>
      <c r="BL34" s="153"/>
      <c r="BM34" s="153"/>
      <c r="BN34" s="153"/>
    </row>
    <row r="35" spans="1:66" s="19" customFormat="1" ht="58.5" customHeight="1">
      <c r="A35" s="262"/>
      <c r="B35" s="263"/>
      <c r="C35" s="60"/>
      <c r="D35" s="258"/>
      <c r="E35" s="258"/>
      <c r="F35" s="258"/>
      <c r="G35" s="258"/>
      <c r="H35" s="250"/>
      <c r="I35" s="256"/>
      <c r="J35" s="264"/>
      <c r="K35" s="264"/>
      <c r="L35" s="60"/>
      <c r="M35" s="269"/>
      <c r="N35" s="264"/>
      <c r="O35" s="264"/>
      <c r="P35" s="264"/>
      <c r="Q35" s="264"/>
      <c r="R35" s="264"/>
      <c r="S35" s="264"/>
      <c r="T35" s="264"/>
      <c r="U35" s="49" t="s">
        <v>471</v>
      </c>
      <c r="V35" s="109"/>
      <c r="W35" s="109"/>
      <c r="X35" s="39" t="s">
        <v>400</v>
      </c>
      <c r="Y35" s="35">
        <v>80</v>
      </c>
      <c r="Z35" s="62"/>
      <c r="AA35" s="79"/>
      <c r="AB35" s="80">
        <v>0</v>
      </c>
      <c r="AC35" s="35">
        <f t="shared" si="3"/>
        <v>0</v>
      </c>
      <c r="AD35" s="250"/>
      <c r="AE35" s="251"/>
      <c r="AF35" s="31"/>
      <c r="AG35" s="81"/>
      <c r="AH35" s="81"/>
      <c r="AI35" s="153"/>
      <c r="AJ35" s="153"/>
      <c r="AK35" s="153"/>
      <c r="AL35" s="153"/>
      <c r="AM35" s="153"/>
      <c r="AN35" s="153"/>
      <c r="AO35" s="153"/>
      <c r="AP35" s="153"/>
      <c r="AQ35" s="153"/>
      <c r="AR35" s="153"/>
      <c r="AS35" s="153"/>
      <c r="AT35" s="153"/>
      <c r="AU35" s="153"/>
      <c r="AV35" s="153"/>
      <c r="AW35" s="153"/>
      <c r="AX35" s="153"/>
      <c r="AY35" s="153"/>
      <c r="AZ35" s="153"/>
      <c r="BA35" s="153"/>
      <c r="BB35" s="153"/>
      <c r="BC35" s="153"/>
      <c r="BD35" s="153"/>
      <c r="BE35" s="153"/>
      <c r="BF35" s="153"/>
      <c r="BG35" s="153"/>
      <c r="BH35" s="153"/>
      <c r="BI35" s="153"/>
      <c r="BJ35" s="153"/>
      <c r="BK35" s="153"/>
      <c r="BL35" s="153"/>
      <c r="BM35" s="153"/>
      <c r="BN35" s="153"/>
    </row>
    <row r="36" spans="1:66" s="19" customFormat="1" ht="53.25" customHeight="1">
      <c r="A36" s="262"/>
      <c r="B36" s="263"/>
      <c r="C36" s="60"/>
      <c r="D36" s="258"/>
      <c r="E36" s="258"/>
      <c r="F36" s="258"/>
      <c r="G36" s="258"/>
      <c r="H36" s="250"/>
      <c r="I36" s="256"/>
      <c r="J36" s="264"/>
      <c r="K36" s="264"/>
      <c r="L36" s="60"/>
      <c r="M36" s="269"/>
      <c r="N36" s="264"/>
      <c r="O36" s="264"/>
      <c r="P36" s="264"/>
      <c r="Q36" s="264"/>
      <c r="R36" s="264"/>
      <c r="S36" s="264"/>
      <c r="T36" s="264"/>
      <c r="U36" s="49" t="s">
        <v>472</v>
      </c>
      <c r="V36" s="109"/>
      <c r="W36" s="109"/>
      <c r="X36" s="39" t="s">
        <v>630</v>
      </c>
      <c r="Y36" s="35">
        <v>6</v>
      </c>
      <c r="Z36" s="62"/>
      <c r="AA36" s="79"/>
      <c r="AB36" s="80">
        <v>0</v>
      </c>
      <c r="AC36" s="35">
        <f t="shared" si="3"/>
        <v>0</v>
      </c>
      <c r="AD36" s="250"/>
      <c r="AE36" s="251"/>
      <c r="AF36" s="31"/>
      <c r="AG36" s="81"/>
      <c r="AH36" s="81"/>
      <c r="AI36" s="153"/>
      <c r="AJ36" s="153"/>
      <c r="AK36" s="153"/>
      <c r="AL36" s="153"/>
      <c r="AM36" s="153"/>
      <c r="AN36" s="153"/>
      <c r="AO36" s="153"/>
      <c r="AP36" s="153"/>
      <c r="AQ36" s="153"/>
      <c r="AR36" s="153"/>
      <c r="AS36" s="153"/>
      <c r="AT36" s="153"/>
      <c r="AU36" s="153"/>
      <c r="AV36" s="153"/>
      <c r="AW36" s="153"/>
      <c r="AX36" s="153"/>
      <c r="AY36" s="153"/>
      <c r="AZ36" s="153"/>
      <c r="BA36" s="153"/>
      <c r="BB36" s="153"/>
      <c r="BC36" s="153"/>
      <c r="BD36" s="153"/>
      <c r="BE36" s="153"/>
      <c r="BF36" s="153"/>
      <c r="BG36" s="153"/>
      <c r="BH36" s="153"/>
      <c r="BI36" s="153"/>
      <c r="BJ36" s="153"/>
      <c r="BK36" s="153"/>
      <c r="BL36" s="153"/>
      <c r="BM36" s="153"/>
      <c r="BN36" s="153"/>
    </row>
    <row r="37" spans="1:66" s="19" customFormat="1" ht="21.75" customHeight="1">
      <c r="A37" s="262"/>
      <c r="B37" s="263"/>
      <c r="C37" s="60"/>
      <c r="D37" s="258"/>
      <c r="E37" s="258"/>
      <c r="F37" s="258"/>
      <c r="G37" s="258"/>
      <c r="H37" s="250"/>
      <c r="I37" s="256"/>
      <c r="J37" s="264"/>
      <c r="K37" s="264"/>
      <c r="L37" s="60"/>
      <c r="M37" s="269"/>
      <c r="N37" s="264"/>
      <c r="O37" s="264"/>
      <c r="P37" s="264"/>
      <c r="Q37" s="264"/>
      <c r="R37" s="264"/>
      <c r="S37" s="264"/>
      <c r="T37" s="264"/>
      <c r="U37" s="49" t="s">
        <v>473</v>
      </c>
      <c r="V37" s="109"/>
      <c r="W37" s="109"/>
      <c r="X37" s="39" t="s">
        <v>400</v>
      </c>
      <c r="Y37" s="35">
        <v>12</v>
      </c>
      <c r="Z37" s="62"/>
      <c r="AA37" s="79"/>
      <c r="AB37" s="80">
        <v>0</v>
      </c>
      <c r="AC37" s="35">
        <f t="shared" si="3"/>
        <v>0</v>
      </c>
      <c r="AD37" s="250"/>
      <c r="AE37" s="251"/>
      <c r="AF37" s="31"/>
      <c r="AG37" s="81"/>
      <c r="AH37" s="81"/>
      <c r="AI37" s="153"/>
      <c r="AJ37" s="153"/>
      <c r="AK37" s="153"/>
      <c r="AL37" s="153"/>
      <c r="AM37" s="153"/>
      <c r="AN37" s="153"/>
      <c r="AO37" s="153"/>
      <c r="AP37" s="153"/>
      <c r="AQ37" s="153"/>
      <c r="AR37" s="153"/>
      <c r="AS37" s="153"/>
      <c r="AT37" s="153"/>
      <c r="AU37" s="153"/>
      <c r="AV37" s="153"/>
      <c r="AW37" s="153"/>
      <c r="AX37" s="153"/>
      <c r="AY37" s="153"/>
      <c r="AZ37" s="153"/>
      <c r="BA37" s="153"/>
      <c r="BB37" s="153"/>
      <c r="BC37" s="153"/>
      <c r="BD37" s="153"/>
      <c r="BE37" s="153"/>
      <c r="BF37" s="153"/>
      <c r="BG37" s="153"/>
      <c r="BH37" s="153"/>
      <c r="BI37" s="153"/>
      <c r="BJ37" s="153"/>
      <c r="BK37" s="153"/>
      <c r="BL37" s="153"/>
      <c r="BM37" s="153"/>
      <c r="BN37" s="153"/>
    </row>
    <row r="38" spans="1:66" s="19" customFormat="1" ht="30.75" customHeight="1">
      <c r="A38" s="262"/>
      <c r="B38" s="263"/>
      <c r="C38" s="60"/>
      <c r="D38" s="258"/>
      <c r="E38" s="258"/>
      <c r="F38" s="258"/>
      <c r="G38" s="258"/>
      <c r="H38" s="250"/>
      <c r="I38" s="256"/>
      <c r="J38" s="264"/>
      <c r="K38" s="264"/>
      <c r="L38" s="60"/>
      <c r="M38" s="269"/>
      <c r="N38" s="264"/>
      <c r="O38" s="264"/>
      <c r="P38" s="264"/>
      <c r="Q38" s="264"/>
      <c r="R38" s="264"/>
      <c r="S38" s="264"/>
      <c r="T38" s="264"/>
      <c r="U38" s="49" t="s">
        <v>474</v>
      </c>
      <c r="V38" s="109"/>
      <c r="W38" s="109"/>
      <c r="X38" s="39" t="s">
        <v>399</v>
      </c>
      <c r="Y38" s="35">
        <v>1</v>
      </c>
      <c r="Z38" s="62"/>
      <c r="AA38" s="79"/>
      <c r="AB38" s="80">
        <v>0</v>
      </c>
      <c r="AC38" s="35">
        <f t="shared" si="3"/>
        <v>0</v>
      </c>
      <c r="AD38" s="250"/>
      <c r="AE38" s="251"/>
      <c r="AF38" s="31"/>
      <c r="AG38" s="81"/>
      <c r="AH38" s="81"/>
      <c r="AI38" s="153"/>
      <c r="AJ38" s="153"/>
      <c r="AK38" s="153"/>
      <c r="AL38" s="153"/>
      <c r="AM38" s="153"/>
      <c r="AN38" s="153"/>
      <c r="AO38" s="153"/>
      <c r="AP38" s="153"/>
      <c r="AQ38" s="153"/>
      <c r="AR38" s="153"/>
      <c r="AS38" s="153"/>
      <c r="AT38" s="153"/>
      <c r="AU38" s="153"/>
      <c r="AV38" s="153"/>
      <c r="AW38" s="153"/>
      <c r="AX38" s="153"/>
      <c r="AY38" s="153"/>
      <c r="AZ38" s="153"/>
      <c r="BA38" s="153"/>
      <c r="BB38" s="153"/>
      <c r="BC38" s="153"/>
      <c r="BD38" s="153"/>
      <c r="BE38" s="153"/>
      <c r="BF38" s="153"/>
      <c r="BG38" s="153"/>
      <c r="BH38" s="153"/>
      <c r="BI38" s="153"/>
      <c r="BJ38" s="153"/>
      <c r="BK38" s="153"/>
      <c r="BL38" s="153"/>
      <c r="BM38" s="153"/>
      <c r="BN38" s="153"/>
    </row>
    <row r="39" spans="1:66" s="19" customFormat="1" ht="36.75" customHeight="1">
      <c r="A39" s="262"/>
      <c r="B39" s="263"/>
      <c r="C39" s="60"/>
      <c r="D39" s="258"/>
      <c r="E39" s="258"/>
      <c r="F39" s="258"/>
      <c r="G39" s="258"/>
      <c r="H39" s="250"/>
      <c r="I39" s="256"/>
      <c r="J39" s="264"/>
      <c r="K39" s="264"/>
      <c r="L39" s="60"/>
      <c r="M39" s="269"/>
      <c r="N39" s="264"/>
      <c r="O39" s="264"/>
      <c r="P39" s="264"/>
      <c r="Q39" s="264"/>
      <c r="R39" s="264"/>
      <c r="S39" s="264"/>
      <c r="T39" s="264"/>
      <c r="U39" s="49" t="s">
        <v>475</v>
      </c>
      <c r="V39" s="109"/>
      <c r="W39" s="109"/>
      <c r="X39" s="39" t="s">
        <v>630</v>
      </c>
      <c r="Y39" s="35">
        <v>1.3</v>
      </c>
      <c r="Z39" s="62"/>
      <c r="AA39" s="79"/>
      <c r="AB39" s="80">
        <v>0</v>
      </c>
      <c r="AC39" s="35">
        <f t="shared" si="3"/>
        <v>0</v>
      </c>
      <c r="AD39" s="250"/>
      <c r="AE39" s="251"/>
      <c r="AF39" s="31"/>
      <c r="AG39" s="81"/>
      <c r="AH39" s="81"/>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c r="BG39" s="153"/>
      <c r="BH39" s="153"/>
      <c r="BI39" s="153"/>
      <c r="BJ39" s="153"/>
      <c r="BK39" s="153"/>
      <c r="BL39" s="153"/>
      <c r="BM39" s="153"/>
      <c r="BN39" s="153"/>
    </row>
    <row r="40" spans="1:66" s="19" customFormat="1" ht="23.25" customHeight="1">
      <c r="A40" s="262"/>
      <c r="B40" s="263"/>
      <c r="C40" s="60"/>
      <c r="D40" s="258"/>
      <c r="E40" s="258"/>
      <c r="F40" s="258"/>
      <c r="G40" s="258"/>
      <c r="H40" s="250"/>
      <c r="I40" s="256"/>
      <c r="J40" s="264"/>
      <c r="K40" s="264"/>
      <c r="L40" s="60"/>
      <c r="M40" s="269"/>
      <c r="N40" s="264"/>
      <c r="O40" s="264"/>
      <c r="P40" s="264"/>
      <c r="Q40" s="264"/>
      <c r="R40" s="264"/>
      <c r="S40" s="264"/>
      <c r="T40" s="264"/>
      <c r="U40" s="49" t="s">
        <v>476</v>
      </c>
      <c r="V40" s="110"/>
      <c r="W40" s="110"/>
      <c r="X40" s="39" t="s">
        <v>0</v>
      </c>
      <c r="Y40" s="35">
        <v>8</v>
      </c>
      <c r="Z40" s="62"/>
      <c r="AA40" s="79"/>
      <c r="AB40" s="80">
        <v>0</v>
      </c>
      <c r="AC40" s="35">
        <f t="shared" si="3"/>
        <v>0</v>
      </c>
      <c r="AD40" s="250"/>
      <c r="AE40" s="251"/>
      <c r="AF40" s="31"/>
      <c r="AG40" s="81"/>
      <c r="AH40" s="81"/>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c r="BE40" s="153"/>
      <c r="BF40" s="153"/>
      <c r="BG40" s="153"/>
      <c r="BH40" s="153"/>
      <c r="BI40" s="153"/>
      <c r="BJ40" s="153"/>
      <c r="BK40" s="153"/>
      <c r="BL40" s="153"/>
      <c r="BM40" s="153"/>
      <c r="BN40" s="153"/>
    </row>
    <row r="41" spans="1:66" s="19" customFormat="1" ht="24" customHeight="1">
      <c r="A41" s="262">
        <v>8</v>
      </c>
      <c r="B41" s="271" t="s">
        <v>494</v>
      </c>
      <c r="C41" s="258" t="s">
        <v>39</v>
      </c>
      <c r="D41" s="258">
        <v>64</v>
      </c>
      <c r="E41" s="258">
        <v>414</v>
      </c>
      <c r="F41" s="258">
        <v>1432.8</v>
      </c>
      <c r="G41" s="258" t="s">
        <v>28</v>
      </c>
      <c r="H41" s="250">
        <v>1440</v>
      </c>
      <c r="I41" s="256">
        <f>F41-H41</f>
        <v>-7.2000000000000455</v>
      </c>
      <c r="J41" s="250">
        <f>H41+H58</f>
        <v>1836</v>
      </c>
      <c r="K41" s="250">
        <v>3276</v>
      </c>
      <c r="L41" s="250"/>
      <c r="M41" s="256">
        <f>J41/K41*100</f>
        <v>56.043956043956044</v>
      </c>
      <c r="N41" s="250">
        <v>6</v>
      </c>
      <c r="O41" s="250">
        <v>5</v>
      </c>
      <c r="P41" s="250">
        <v>80000</v>
      </c>
      <c r="Q41" s="250">
        <f>P41*J41</f>
        <v>146880000</v>
      </c>
      <c r="R41" s="250">
        <f>Q41*3</f>
        <v>440640000</v>
      </c>
      <c r="S41" s="250">
        <f>N41*O41*17000*30</f>
        <v>15300000</v>
      </c>
      <c r="T41" s="250">
        <f>SUM(Q41:S58)</f>
        <v>602820000</v>
      </c>
      <c r="U41" s="82" t="s">
        <v>446</v>
      </c>
      <c r="V41" s="109"/>
      <c r="W41" s="109"/>
      <c r="X41" s="39" t="s">
        <v>0</v>
      </c>
      <c r="Y41" s="83">
        <v>720</v>
      </c>
      <c r="Z41" s="62">
        <v>180000</v>
      </c>
      <c r="AA41" s="84"/>
      <c r="AB41" s="68">
        <v>1</v>
      </c>
      <c r="AC41" s="35">
        <f t="shared" ref="AC41" si="4">Y41*Z41*AB41</f>
        <v>129600000</v>
      </c>
      <c r="AD41" s="250">
        <f>SUM(AC41:AC57)</f>
        <v>257652000</v>
      </c>
      <c r="AE41" s="251">
        <f>T41+AD41+AD58</f>
        <v>931212000</v>
      </c>
      <c r="AF41" s="31" t="s">
        <v>398</v>
      </c>
      <c r="AG41" s="81"/>
      <c r="AH41" s="81"/>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c r="BE41" s="153"/>
      <c r="BF41" s="153"/>
      <c r="BG41" s="153"/>
      <c r="BH41" s="153"/>
      <c r="BI41" s="153"/>
      <c r="BJ41" s="153"/>
      <c r="BK41" s="153"/>
      <c r="BL41" s="153"/>
      <c r="BM41" s="153"/>
      <c r="BN41" s="153"/>
    </row>
    <row r="42" spans="1:66" s="19" customFormat="1" ht="34.5" customHeight="1">
      <c r="A42" s="262"/>
      <c r="B42" s="271"/>
      <c r="C42" s="258"/>
      <c r="D42" s="258"/>
      <c r="E42" s="258"/>
      <c r="F42" s="258"/>
      <c r="G42" s="258"/>
      <c r="H42" s="250"/>
      <c r="I42" s="256"/>
      <c r="J42" s="250"/>
      <c r="K42" s="250"/>
      <c r="L42" s="250"/>
      <c r="M42" s="256"/>
      <c r="N42" s="250"/>
      <c r="O42" s="250"/>
      <c r="P42" s="250"/>
      <c r="Q42" s="250"/>
      <c r="R42" s="250"/>
      <c r="S42" s="250"/>
      <c r="T42" s="250"/>
      <c r="U42" s="65" t="s">
        <v>495</v>
      </c>
      <c r="V42" s="109">
        <v>25</v>
      </c>
      <c r="W42" s="109">
        <f>(H41-Y41-Y49-8)/25</f>
        <v>27.52</v>
      </c>
      <c r="X42" s="39" t="s">
        <v>2</v>
      </c>
      <c r="Y42" s="35">
        <v>32</v>
      </c>
      <c r="Z42" s="62"/>
      <c r="AA42" s="79"/>
      <c r="AB42" s="80"/>
      <c r="AC42" s="35"/>
      <c r="AD42" s="250"/>
      <c r="AE42" s="251"/>
      <c r="AF42" s="31"/>
      <c r="AG42" s="81"/>
      <c r="AH42" s="81"/>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3"/>
      <c r="BE42" s="153"/>
      <c r="BF42" s="153"/>
      <c r="BG42" s="153"/>
      <c r="BH42" s="153"/>
      <c r="BI42" s="153"/>
      <c r="BJ42" s="153"/>
      <c r="BK42" s="153"/>
      <c r="BL42" s="153"/>
      <c r="BM42" s="153"/>
      <c r="BN42" s="153"/>
    </row>
    <row r="43" spans="1:66" s="19" customFormat="1" ht="21.75" customHeight="1">
      <c r="A43" s="262"/>
      <c r="B43" s="271"/>
      <c r="C43" s="258"/>
      <c r="D43" s="258"/>
      <c r="E43" s="258"/>
      <c r="F43" s="258"/>
      <c r="G43" s="258"/>
      <c r="H43" s="250"/>
      <c r="I43" s="256"/>
      <c r="J43" s="250"/>
      <c r="K43" s="250"/>
      <c r="L43" s="250"/>
      <c r="M43" s="256"/>
      <c r="N43" s="250"/>
      <c r="O43" s="250"/>
      <c r="P43" s="250"/>
      <c r="Q43" s="250"/>
      <c r="R43" s="250"/>
      <c r="S43" s="250"/>
      <c r="T43" s="250"/>
      <c r="U43" s="67" t="s">
        <v>421</v>
      </c>
      <c r="V43" s="109"/>
      <c r="W43" s="109"/>
      <c r="X43" s="39" t="s">
        <v>2</v>
      </c>
      <c r="Y43" s="35">
        <v>28</v>
      </c>
      <c r="Z43" s="62">
        <v>4500000</v>
      </c>
      <c r="AA43" s="79"/>
      <c r="AB43" s="80">
        <v>1</v>
      </c>
      <c r="AC43" s="35">
        <f>Y43*Z43*AB43</f>
        <v>126000000</v>
      </c>
      <c r="AD43" s="250"/>
      <c r="AE43" s="251"/>
      <c r="AF43" s="31"/>
      <c r="AG43" s="81"/>
      <c r="AH43" s="81"/>
      <c r="AI43" s="153"/>
      <c r="AJ43" s="153"/>
      <c r="AK43" s="153"/>
      <c r="AL43" s="153"/>
      <c r="AM43" s="153"/>
      <c r="AN43" s="153"/>
      <c r="AO43" s="153"/>
      <c r="AP43" s="153"/>
      <c r="AQ43" s="153"/>
      <c r="AR43" s="153"/>
      <c r="AS43" s="153"/>
      <c r="AT43" s="153"/>
      <c r="AU43" s="153"/>
      <c r="AV43" s="153"/>
      <c r="AW43" s="153"/>
      <c r="AX43" s="153"/>
      <c r="AY43" s="153"/>
      <c r="AZ43" s="153"/>
      <c r="BA43" s="153"/>
      <c r="BB43" s="153"/>
      <c r="BC43" s="153"/>
      <c r="BD43" s="153"/>
      <c r="BE43" s="153"/>
      <c r="BF43" s="153"/>
      <c r="BG43" s="153"/>
      <c r="BH43" s="153"/>
      <c r="BI43" s="153"/>
      <c r="BJ43" s="153"/>
      <c r="BK43" s="153"/>
      <c r="BL43" s="153"/>
      <c r="BM43" s="153"/>
      <c r="BN43" s="153"/>
    </row>
    <row r="44" spans="1:66" s="19" customFormat="1" ht="21.75" customHeight="1">
      <c r="A44" s="262"/>
      <c r="B44" s="271"/>
      <c r="C44" s="258"/>
      <c r="D44" s="258"/>
      <c r="E44" s="258"/>
      <c r="F44" s="258"/>
      <c r="G44" s="258"/>
      <c r="H44" s="250"/>
      <c r="I44" s="256"/>
      <c r="J44" s="250"/>
      <c r="K44" s="250"/>
      <c r="L44" s="250"/>
      <c r="M44" s="256"/>
      <c r="N44" s="250"/>
      <c r="O44" s="250"/>
      <c r="P44" s="250"/>
      <c r="Q44" s="250"/>
      <c r="R44" s="250"/>
      <c r="S44" s="250"/>
      <c r="T44" s="250"/>
      <c r="U44" s="67" t="s">
        <v>423</v>
      </c>
      <c r="V44" s="109"/>
      <c r="W44" s="109">
        <f>0.3*3</f>
        <v>0.89999999999999991</v>
      </c>
      <c r="X44" s="39" t="s">
        <v>2</v>
      </c>
      <c r="Y44" s="35">
        <v>1</v>
      </c>
      <c r="Z44" s="62">
        <v>1800000</v>
      </c>
      <c r="AA44" s="79"/>
      <c r="AB44" s="80">
        <v>0.3</v>
      </c>
      <c r="AC44" s="35">
        <f t="shared" ref="AC44:AC45" si="5">Y44*Z44*AB44</f>
        <v>540000</v>
      </c>
      <c r="AD44" s="250"/>
      <c r="AE44" s="251"/>
      <c r="AF44" s="31"/>
      <c r="AG44" s="81"/>
      <c r="AH44" s="81"/>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I44" s="153"/>
      <c r="BJ44" s="153"/>
      <c r="BK44" s="153"/>
      <c r="BL44" s="153"/>
      <c r="BM44" s="153"/>
      <c r="BN44" s="153"/>
    </row>
    <row r="45" spans="1:66" s="19" customFormat="1" ht="21.75" customHeight="1">
      <c r="A45" s="262"/>
      <c r="B45" s="271"/>
      <c r="C45" s="258"/>
      <c r="D45" s="258"/>
      <c r="E45" s="258"/>
      <c r="F45" s="258"/>
      <c r="G45" s="258"/>
      <c r="H45" s="250"/>
      <c r="I45" s="256"/>
      <c r="J45" s="250"/>
      <c r="K45" s="250"/>
      <c r="L45" s="250"/>
      <c r="M45" s="256"/>
      <c r="N45" s="250"/>
      <c r="O45" s="250"/>
      <c r="P45" s="250"/>
      <c r="Q45" s="250"/>
      <c r="R45" s="250"/>
      <c r="S45" s="250"/>
      <c r="T45" s="250"/>
      <c r="U45" s="67" t="s">
        <v>424</v>
      </c>
      <c r="V45" s="109"/>
      <c r="W45" s="109"/>
      <c r="X45" s="39" t="s">
        <v>2</v>
      </c>
      <c r="Y45" s="35">
        <v>3</v>
      </c>
      <c r="Z45" s="62">
        <v>1800000</v>
      </c>
      <c r="AA45" s="79"/>
      <c r="AB45" s="80">
        <v>0</v>
      </c>
      <c r="AC45" s="35">
        <f t="shared" si="5"/>
        <v>0</v>
      </c>
      <c r="AD45" s="250"/>
      <c r="AE45" s="251"/>
      <c r="AF45" s="31"/>
      <c r="AG45" s="81"/>
      <c r="AH45" s="81"/>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row>
    <row r="46" spans="1:66" s="19" customFormat="1" ht="57" customHeight="1">
      <c r="A46" s="262"/>
      <c r="B46" s="271"/>
      <c r="C46" s="258"/>
      <c r="D46" s="258"/>
      <c r="E46" s="258"/>
      <c r="F46" s="258"/>
      <c r="G46" s="258"/>
      <c r="H46" s="250"/>
      <c r="I46" s="256"/>
      <c r="J46" s="250"/>
      <c r="K46" s="250"/>
      <c r="L46" s="250"/>
      <c r="M46" s="256"/>
      <c r="N46" s="250"/>
      <c r="O46" s="250"/>
      <c r="P46" s="250"/>
      <c r="Q46" s="250"/>
      <c r="R46" s="250"/>
      <c r="S46" s="250"/>
      <c r="T46" s="250"/>
      <c r="U46" s="49" t="s">
        <v>496</v>
      </c>
      <c r="V46" s="110">
        <v>10</v>
      </c>
      <c r="W46" s="109">
        <f>(H41-Y41-Y49-8)/10</f>
        <v>68.8</v>
      </c>
      <c r="X46" s="39" t="s">
        <v>2</v>
      </c>
      <c r="Y46" s="61">
        <v>150</v>
      </c>
      <c r="Z46" s="62"/>
      <c r="AA46" s="79"/>
      <c r="AB46" s="80"/>
      <c r="AC46" s="35"/>
      <c r="AD46" s="250"/>
      <c r="AE46" s="251"/>
      <c r="AF46" s="31"/>
      <c r="AG46" s="81"/>
      <c r="AH46" s="81"/>
      <c r="AI46" s="153"/>
      <c r="AJ46" s="153"/>
      <c r="AK46" s="153"/>
      <c r="AL46" s="153"/>
      <c r="AM46" s="153"/>
      <c r="AN46" s="153"/>
      <c r="AO46" s="153"/>
      <c r="AP46" s="153"/>
      <c r="AQ46" s="153"/>
      <c r="AR46" s="153"/>
      <c r="AS46" s="153"/>
      <c r="AT46" s="153"/>
      <c r="AU46" s="153"/>
      <c r="AV46" s="153"/>
      <c r="AW46" s="153"/>
      <c r="AX46" s="153"/>
      <c r="AY46" s="153"/>
      <c r="AZ46" s="153"/>
      <c r="BA46" s="153"/>
      <c r="BB46" s="153"/>
      <c r="BC46" s="153"/>
      <c r="BD46" s="153"/>
      <c r="BE46" s="153"/>
      <c r="BF46" s="153"/>
      <c r="BG46" s="153"/>
      <c r="BH46" s="153"/>
      <c r="BI46" s="153"/>
      <c r="BJ46" s="153"/>
      <c r="BK46" s="153"/>
      <c r="BL46" s="153"/>
      <c r="BM46" s="153"/>
      <c r="BN46" s="153"/>
    </row>
    <row r="47" spans="1:66" s="19" customFormat="1" ht="36" customHeight="1">
      <c r="A47" s="262"/>
      <c r="B47" s="271"/>
      <c r="C47" s="258"/>
      <c r="D47" s="258"/>
      <c r="E47" s="258"/>
      <c r="F47" s="258"/>
      <c r="G47" s="258"/>
      <c r="H47" s="250"/>
      <c r="I47" s="256"/>
      <c r="J47" s="250"/>
      <c r="K47" s="250"/>
      <c r="L47" s="250"/>
      <c r="M47" s="256"/>
      <c r="N47" s="250"/>
      <c r="O47" s="250"/>
      <c r="P47" s="250"/>
      <c r="Q47" s="250"/>
      <c r="R47" s="250"/>
      <c r="S47" s="250"/>
      <c r="T47" s="250"/>
      <c r="U47" s="67" t="s">
        <v>497</v>
      </c>
      <c r="V47" s="109"/>
      <c r="W47" s="109">
        <f>0.3*W46</f>
        <v>20.639999999999997</v>
      </c>
      <c r="X47" s="39" t="s">
        <v>2</v>
      </c>
      <c r="Y47" s="83">
        <v>21</v>
      </c>
      <c r="Z47" s="62">
        <v>240000</v>
      </c>
      <c r="AA47" s="79"/>
      <c r="AB47" s="80">
        <v>0.3</v>
      </c>
      <c r="AC47" s="35">
        <f t="shared" ref="AC47" si="6">Y47*Z47*AB47</f>
        <v>1512000</v>
      </c>
      <c r="AD47" s="250"/>
      <c r="AE47" s="251"/>
      <c r="AF47" s="31"/>
      <c r="AG47" s="81"/>
      <c r="AH47" s="81"/>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row>
    <row r="48" spans="1:66" s="19" customFormat="1" ht="27.75" customHeight="1">
      <c r="A48" s="262"/>
      <c r="B48" s="271"/>
      <c r="C48" s="258"/>
      <c r="D48" s="258"/>
      <c r="E48" s="258"/>
      <c r="F48" s="258"/>
      <c r="G48" s="258"/>
      <c r="H48" s="250"/>
      <c r="I48" s="256"/>
      <c r="J48" s="250"/>
      <c r="K48" s="250"/>
      <c r="L48" s="250"/>
      <c r="M48" s="256"/>
      <c r="N48" s="250"/>
      <c r="O48" s="250"/>
      <c r="P48" s="250"/>
      <c r="Q48" s="250"/>
      <c r="R48" s="250"/>
      <c r="S48" s="250"/>
      <c r="T48" s="250"/>
      <c r="U48" s="67" t="s">
        <v>486</v>
      </c>
      <c r="V48" s="109"/>
      <c r="W48" s="109"/>
      <c r="X48" s="39" t="s">
        <v>2</v>
      </c>
      <c r="Y48" s="83">
        <v>129</v>
      </c>
      <c r="Z48" s="62">
        <v>240000</v>
      </c>
      <c r="AA48" s="79"/>
      <c r="AB48" s="80">
        <v>0</v>
      </c>
      <c r="AC48" s="35">
        <f t="shared" ref="AC48" si="7">Y48*Z48*AB48/100</f>
        <v>0</v>
      </c>
      <c r="AD48" s="250"/>
      <c r="AE48" s="251"/>
      <c r="AF48" s="31"/>
      <c r="AG48" s="81"/>
      <c r="AH48" s="81"/>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I48" s="153"/>
      <c r="BJ48" s="153"/>
      <c r="BK48" s="153"/>
      <c r="BL48" s="153"/>
      <c r="BM48" s="153"/>
      <c r="BN48" s="153"/>
    </row>
    <row r="49" spans="1:66" s="19" customFormat="1" ht="81" customHeight="1">
      <c r="A49" s="262"/>
      <c r="B49" s="271"/>
      <c r="C49" s="258"/>
      <c r="D49" s="258"/>
      <c r="E49" s="258"/>
      <c r="F49" s="258"/>
      <c r="G49" s="258"/>
      <c r="H49" s="250"/>
      <c r="I49" s="256"/>
      <c r="J49" s="250"/>
      <c r="K49" s="250"/>
      <c r="L49" s="250"/>
      <c r="M49" s="256"/>
      <c r="N49" s="250"/>
      <c r="O49" s="250"/>
      <c r="P49" s="250"/>
      <c r="Q49" s="250"/>
      <c r="R49" s="250"/>
      <c r="S49" s="250"/>
      <c r="T49" s="250"/>
      <c r="U49" s="49" t="s">
        <v>561</v>
      </c>
      <c r="V49" s="109"/>
      <c r="W49" s="109"/>
      <c r="X49" s="39" t="s">
        <v>0</v>
      </c>
      <c r="Y49" s="61">
        <v>24</v>
      </c>
      <c r="Z49" s="62"/>
      <c r="AA49" s="79"/>
      <c r="AB49" s="80"/>
      <c r="AC49" s="35"/>
      <c r="AD49" s="250"/>
      <c r="AE49" s="251"/>
      <c r="AF49" s="31"/>
      <c r="AG49" s="81"/>
      <c r="AH49" s="81"/>
      <c r="AI49" s="153"/>
      <c r="AJ49" s="153"/>
      <c r="AK49" s="153"/>
      <c r="AL49" s="153"/>
      <c r="AM49" s="153"/>
      <c r="AN49" s="153"/>
      <c r="AO49" s="153"/>
      <c r="AP49" s="153"/>
      <c r="AQ49" s="153"/>
      <c r="AR49" s="153"/>
      <c r="AS49" s="153"/>
      <c r="AT49" s="153"/>
      <c r="AU49" s="153"/>
      <c r="AV49" s="153"/>
      <c r="AW49" s="153"/>
      <c r="AX49" s="153"/>
      <c r="AY49" s="153"/>
      <c r="AZ49" s="153"/>
      <c r="BA49" s="153"/>
      <c r="BB49" s="153"/>
      <c r="BC49" s="153"/>
      <c r="BD49" s="153"/>
      <c r="BE49" s="153"/>
      <c r="BF49" s="153"/>
      <c r="BG49" s="153"/>
      <c r="BH49" s="153"/>
      <c r="BI49" s="153"/>
      <c r="BJ49" s="153"/>
      <c r="BK49" s="153"/>
      <c r="BL49" s="153"/>
      <c r="BM49" s="153"/>
      <c r="BN49" s="153"/>
    </row>
    <row r="50" spans="1:66" s="19" customFormat="1" ht="41.25" customHeight="1">
      <c r="A50" s="262"/>
      <c r="B50" s="271"/>
      <c r="C50" s="258"/>
      <c r="D50" s="258"/>
      <c r="E50" s="258"/>
      <c r="F50" s="258"/>
      <c r="G50" s="258"/>
      <c r="H50" s="250"/>
      <c r="I50" s="256"/>
      <c r="J50" s="250"/>
      <c r="K50" s="250"/>
      <c r="L50" s="250"/>
      <c r="M50" s="256"/>
      <c r="N50" s="250"/>
      <c r="O50" s="250"/>
      <c r="P50" s="250"/>
      <c r="Q50" s="250"/>
      <c r="R50" s="250"/>
      <c r="S50" s="250"/>
      <c r="T50" s="250"/>
      <c r="U50" s="49" t="s">
        <v>562</v>
      </c>
      <c r="V50" s="109"/>
      <c r="W50" s="109"/>
      <c r="X50" s="39" t="s">
        <v>0</v>
      </c>
      <c r="Y50" s="61">
        <v>36</v>
      </c>
      <c r="Z50" s="62"/>
      <c r="AA50" s="79"/>
      <c r="AB50" s="80"/>
      <c r="AC50" s="35"/>
      <c r="AD50" s="250"/>
      <c r="AE50" s="251"/>
      <c r="AF50" s="31"/>
      <c r="AG50" s="81"/>
      <c r="AH50" s="81"/>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row>
    <row r="51" spans="1:66" s="19" customFormat="1" ht="55.5" customHeight="1">
      <c r="A51" s="262"/>
      <c r="B51" s="271"/>
      <c r="C51" s="258"/>
      <c r="D51" s="258"/>
      <c r="E51" s="258"/>
      <c r="F51" s="258"/>
      <c r="G51" s="258"/>
      <c r="H51" s="250"/>
      <c r="I51" s="256"/>
      <c r="J51" s="250"/>
      <c r="K51" s="250"/>
      <c r="L51" s="250"/>
      <c r="M51" s="256"/>
      <c r="N51" s="250"/>
      <c r="O51" s="250"/>
      <c r="P51" s="250"/>
      <c r="Q51" s="250"/>
      <c r="R51" s="250"/>
      <c r="S51" s="250"/>
      <c r="T51" s="250"/>
      <c r="U51" s="49" t="s">
        <v>483</v>
      </c>
      <c r="V51" s="109"/>
      <c r="W51" s="109"/>
      <c r="X51" s="39" t="s">
        <v>0</v>
      </c>
      <c r="Y51" s="61">
        <v>93</v>
      </c>
      <c r="Z51" s="62"/>
      <c r="AA51" s="79"/>
      <c r="AB51" s="80"/>
      <c r="AC51" s="35"/>
      <c r="AD51" s="250"/>
      <c r="AE51" s="251"/>
      <c r="AF51" s="31"/>
      <c r="AG51" s="81"/>
      <c r="AH51" s="81"/>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c r="BE51" s="153"/>
      <c r="BF51" s="153"/>
      <c r="BG51" s="153"/>
      <c r="BH51" s="153"/>
      <c r="BI51" s="153"/>
      <c r="BJ51" s="153"/>
      <c r="BK51" s="153"/>
      <c r="BL51" s="153"/>
      <c r="BM51" s="153"/>
      <c r="BN51" s="153"/>
    </row>
    <row r="52" spans="1:66" s="19" customFormat="1" ht="27.75" customHeight="1">
      <c r="A52" s="262"/>
      <c r="B52" s="271"/>
      <c r="C52" s="258"/>
      <c r="D52" s="258"/>
      <c r="E52" s="258"/>
      <c r="F52" s="258"/>
      <c r="G52" s="258"/>
      <c r="H52" s="250"/>
      <c r="I52" s="256"/>
      <c r="J52" s="250"/>
      <c r="K52" s="250"/>
      <c r="L52" s="250"/>
      <c r="M52" s="256"/>
      <c r="N52" s="250"/>
      <c r="O52" s="250"/>
      <c r="P52" s="250"/>
      <c r="Q52" s="250"/>
      <c r="R52" s="250"/>
      <c r="S52" s="250"/>
      <c r="T52" s="250"/>
      <c r="U52" s="49" t="s">
        <v>563</v>
      </c>
      <c r="V52" s="109"/>
      <c r="W52" s="109"/>
      <c r="X52" s="39" t="s">
        <v>0</v>
      </c>
      <c r="Y52" s="61">
        <v>277</v>
      </c>
      <c r="Z52" s="62"/>
      <c r="AA52" s="79"/>
      <c r="AB52" s="80"/>
      <c r="AC52" s="35"/>
      <c r="AD52" s="250"/>
      <c r="AE52" s="251"/>
      <c r="AF52" s="31"/>
      <c r="AG52" s="81"/>
      <c r="AH52" s="81"/>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row>
    <row r="53" spans="1:66" s="19" customFormat="1" ht="51" customHeight="1">
      <c r="A53" s="262"/>
      <c r="B53" s="271"/>
      <c r="C53" s="258"/>
      <c r="D53" s="258"/>
      <c r="E53" s="258"/>
      <c r="F53" s="258"/>
      <c r="G53" s="258"/>
      <c r="H53" s="250"/>
      <c r="I53" s="256"/>
      <c r="J53" s="250"/>
      <c r="K53" s="250"/>
      <c r="L53" s="250"/>
      <c r="M53" s="256"/>
      <c r="N53" s="250"/>
      <c r="O53" s="250"/>
      <c r="P53" s="250"/>
      <c r="Q53" s="250"/>
      <c r="R53" s="250"/>
      <c r="S53" s="250"/>
      <c r="T53" s="250"/>
      <c r="U53" s="49" t="s">
        <v>564</v>
      </c>
      <c r="V53" s="109"/>
      <c r="W53" s="109"/>
      <c r="X53" s="39" t="s">
        <v>400</v>
      </c>
      <c r="Y53" s="61">
        <v>7</v>
      </c>
      <c r="Z53" s="62"/>
      <c r="AA53" s="79"/>
      <c r="AB53" s="80"/>
      <c r="AC53" s="35"/>
      <c r="AD53" s="250"/>
      <c r="AE53" s="251"/>
      <c r="AF53" s="31"/>
      <c r="AG53" s="81"/>
      <c r="AH53" s="81"/>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c r="BE53" s="153"/>
      <c r="BF53" s="153"/>
      <c r="BG53" s="153"/>
      <c r="BH53" s="153"/>
      <c r="BI53" s="153"/>
      <c r="BJ53" s="153"/>
      <c r="BK53" s="153"/>
      <c r="BL53" s="153"/>
      <c r="BM53" s="153"/>
      <c r="BN53" s="153"/>
    </row>
    <row r="54" spans="1:66" s="19" customFormat="1" ht="60.75" customHeight="1">
      <c r="A54" s="262"/>
      <c r="B54" s="271"/>
      <c r="C54" s="258"/>
      <c r="D54" s="258"/>
      <c r="E54" s="258"/>
      <c r="F54" s="258"/>
      <c r="G54" s="258"/>
      <c r="H54" s="250"/>
      <c r="I54" s="256"/>
      <c r="J54" s="250"/>
      <c r="K54" s="250"/>
      <c r="L54" s="250"/>
      <c r="M54" s="256"/>
      <c r="N54" s="250"/>
      <c r="O54" s="250"/>
      <c r="P54" s="250"/>
      <c r="Q54" s="250"/>
      <c r="R54" s="250"/>
      <c r="S54" s="250"/>
      <c r="T54" s="250"/>
      <c r="U54" s="49" t="s">
        <v>565</v>
      </c>
      <c r="V54" s="109"/>
      <c r="W54" s="109"/>
      <c r="X54" s="39" t="s">
        <v>630</v>
      </c>
      <c r="Y54" s="61">
        <v>12</v>
      </c>
      <c r="Z54" s="62"/>
      <c r="AA54" s="79"/>
      <c r="AB54" s="80"/>
      <c r="AC54" s="35"/>
      <c r="AD54" s="250"/>
      <c r="AE54" s="251"/>
      <c r="AF54" s="31"/>
      <c r="AG54" s="81"/>
      <c r="AH54" s="81"/>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row>
    <row r="55" spans="1:66" s="19" customFormat="1" ht="27.75" customHeight="1">
      <c r="A55" s="262"/>
      <c r="B55" s="271"/>
      <c r="C55" s="258"/>
      <c r="D55" s="258"/>
      <c r="E55" s="258"/>
      <c r="F55" s="258"/>
      <c r="G55" s="258"/>
      <c r="H55" s="250"/>
      <c r="I55" s="256"/>
      <c r="J55" s="250"/>
      <c r="K55" s="250"/>
      <c r="L55" s="250"/>
      <c r="M55" s="256"/>
      <c r="N55" s="250"/>
      <c r="O55" s="250"/>
      <c r="P55" s="250"/>
      <c r="Q55" s="250"/>
      <c r="R55" s="250"/>
      <c r="S55" s="250"/>
      <c r="T55" s="250"/>
      <c r="U55" s="49" t="s">
        <v>436</v>
      </c>
      <c r="V55" s="109"/>
      <c r="W55" s="109"/>
      <c r="X55" s="39" t="s">
        <v>3</v>
      </c>
      <c r="Y55" s="61">
        <v>2</v>
      </c>
      <c r="Z55" s="62"/>
      <c r="AA55" s="79"/>
      <c r="AB55" s="80"/>
      <c r="AC55" s="35"/>
      <c r="AD55" s="250"/>
      <c r="AE55" s="251"/>
      <c r="AF55" s="31"/>
      <c r="AG55" s="81"/>
      <c r="AH55" s="81"/>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c r="BE55" s="153"/>
      <c r="BF55" s="153"/>
      <c r="BG55" s="153"/>
      <c r="BH55" s="153"/>
      <c r="BI55" s="153"/>
      <c r="BJ55" s="153"/>
      <c r="BK55" s="153"/>
      <c r="BL55" s="153"/>
      <c r="BM55" s="153"/>
      <c r="BN55" s="153"/>
    </row>
    <row r="56" spans="1:66" s="19" customFormat="1" ht="39.75" customHeight="1">
      <c r="A56" s="262"/>
      <c r="B56" s="271"/>
      <c r="C56" s="258"/>
      <c r="D56" s="258"/>
      <c r="E56" s="258"/>
      <c r="F56" s="258"/>
      <c r="G56" s="258"/>
      <c r="H56" s="250"/>
      <c r="I56" s="256"/>
      <c r="J56" s="250"/>
      <c r="K56" s="250"/>
      <c r="L56" s="250"/>
      <c r="M56" s="256"/>
      <c r="N56" s="250"/>
      <c r="O56" s="250"/>
      <c r="P56" s="250"/>
      <c r="Q56" s="250"/>
      <c r="R56" s="250"/>
      <c r="S56" s="250"/>
      <c r="T56" s="250"/>
      <c r="U56" s="49" t="s">
        <v>566</v>
      </c>
      <c r="V56" s="109"/>
      <c r="W56" s="109"/>
      <c r="X56" s="39" t="s">
        <v>630</v>
      </c>
      <c r="Y56" s="61">
        <v>2.5</v>
      </c>
      <c r="Z56" s="62"/>
      <c r="AA56" s="79"/>
      <c r="AB56" s="80"/>
      <c r="AC56" s="35"/>
      <c r="AD56" s="250"/>
      <c r="AE56" s="251"/>
      <c r="AF56" s="31"/>
      <c r="AG56" s="81"/>
      <c r="AH56" s="81"/>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row>
    <row r="57" spans="1:66" s="19" customFormat="1" ht="50.25" customHeight="1">
      <c r="A57" s="262"/>
      <c r="B57" s="271"/>
      <c r="C57" s="258"/>
      <c r="D57" s="258"/>
      <c r="E57" s="258"/>
      <c r="F57" s="258"/>
      <c r="G57" s="258"/>
      <c r="H57" s="250"/>
      <c r="I57" s="256"/>
      <c r="J57" s="250"/>
      <c r="K57" s="250"/>
      <c r="L57" s="250"/>
      <c r="M57" s="256"/>
      <c r="N57" s="250"/>
      <c r="O57" s="250"/>
      <c r="P57" s="250"/>
      <c r="Q57" s="250"/>
      <c r="R57" s="250"/>
      <c r="S57" s="250"/>
      <c r="T57" s="250"/>
      <c r="U57" s="49" t="s">
        <v>567</v>
      </c>
      <c r="V57" s="109"/>
      <c r="W57" s="109"/>
      <c r="X57" s="39" t="s">
        <v>0</v>
      </c>
      <c r="Y57" s="61">
        <v>12</v>
      </c>
      <c r="Z57" s="48"/>
      <c r="AA57" s="79"/>
      <c r="AB57" s="80"/>
      <c r="AC57" s="35">
        <f t="shared" ref="AC57:AC58" si="8">Y57*Z57*AB57</f>
        <v>0</v>
      </c>
      <c r="AD57" s="250"/>
      <c r="AE57" s="251"/>
      <c r="AF57" s="31"/>
      <c r="AG57" s="81"/>
      <c r="AH57" s="81"/>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153"/>
      <c r="BK57" s="153"/>
      <c r="BL57" s="153"/>
      <c r="BM57" s="153"/>
      <c r="BN57" s="153"/>
    </row>
    <row r="58" spans="1:66" s="19" customFormat="1" ht="27" customHeight="1">
      <c r="A58" s="262"/>
      <c r="B58" s="271"/>
      <c r="C58" s="60"/>
      <c r="D58" s="60">
        <v>64</v>
      </c>
      <c r="E58" s="60">
        <v>415</v>
      </c>
      <c r="F58" s="60">
        <v>393.6</v>
      </c>
      <c r="G58" s="60" t="s">
        <v>28</v>
      </c>
      <c r="H58" s="48">
        <v>396</v>
      </c>
      <c r="I58" s="85">
        <f>F58-H58</f>
        <v>-2.3999999999999773</v>
      </c>
      <c r="J58" s="250"/>
      <c r="K58" s="250"/>
      <c r="L58" s="250"/>
      <c r="M58" s="256"/>
      <c r="N58" s="250"/>
      <c r="O58" s="250"/>
      <c r="P58" s="250"/>
      <c r="Q58" s="250"/>
      <c r="R58" s="250"/>
      <c r="S58" s="250"/>
      <c r="T58" s="250"/>
      <c r="U58" s="82" t="s">
        <v>446</v>
      </c>
      <c r="V58" s="109"/>
      <c r="W58" s="109"/>
      <c r="X58" s="39" t="s">
        <v>0</v>
      </c>
      <c r="Y58" s="83">
        <v>393</v>
      </c>
      <c r="Z58" s="62">
        <v>180000</v>
      </c>
      <c r="AA58" s="84"/>
      <c r="AB58" s="68">
        <v>1</v>
      </c>
      <c r="AC58" s="35">
        <f t="shared" si="8"/>
        <v>70740000</v>
      </c>
      <c r="AD58" s="35">
        <f>SUM(AC58:AC58)</f>
        <v>70740000</v>
      </c>
      <c r="AE58" s="251"/>
      <c r="AF58" s="31"/>
      <c r="AG58" s="81"/>
      <c r="AH58" s="81"/>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153"/>
      <c r="BK58" s="153"/>
      <c r="BL58" s="153"/>
      <c r="BM58" s="153"/>
      <c r="BN58" s="153"/>
    </row>
    <row r="59" spans="1:66" s="19" customFormat="1" ht="21.75" customHeight="1">
      <c r="A59" s="262">
        <v>9</v>
      </c>
      <c r="B59" s="263" t="s">
        <v>502</v>
      </c>
      <c r="C59" s="60"/>
      <c r="D59" s="258">
        <v>64</v>
      </c>
      <c r="E59" s="258">
        <v>428</v>
      </c>
      <c r="F59" s="258">
        <v>211.8</v>
      </c>
      <c r="G59" s="258" t="s">
        <v>28</v>
      </c>
      <c r="H59" s="250">
        <v>216</v>
      </c>
      <c r="I59" s="256">
        <f>F59-H59</f>
        <v>-4.1999999999999886</v>
      </c>
      <c r="J59" s="264">
        <v>216</v>
      </c>
      <c r="K59" s="264">
        <v>720</v>
      </c>
      <c r="L59" s="60"/>
      <c r="M59" s="277">
        <f>J59/K59*100</f>
        <v>30</v>
      </c>
      <c r="N59" s="264">
        <v>6</v>
      </c>
      <c r="O59" s="264">
        <v>4</v>
      </c>
      <c r="P59" s="264">
        <v>80000</v>
      </c>
      <c r="Q59" s="264">
        <f>P59*J59</f>
        <v>17280000</v>
      </c>
      <c r="R59" s="264">
        <f>Q59*3</f>
        <v>51840000</v>
      </c>
      <c r="S59" s="264">
        <f>N59*O59*17000*30</f>
        <v>12240000</v>
      </c>
      <c r="T59" s="264">
        <f>SUM(Q59:S63)</f>
        <v>81360000</v>
      </c>
      <c r="U59" s="82" t="s">
        <v>446</v>
      </c>
      <c r="V59" s="109"/>
      <c r="W59" s="109"/>
      <c r="X59" s="39" t="s">
        <v>0</v>
      </c>
      <c r="Y59" s="83">
        <v>200</v>
      </c>
      <c r="Z59" s="62">
        <v>180000</v>
      </c>
      <c r="AA59" s="84"/>
      <c r="AB59" s="68">
        <v>1</v>
      </c>
      <c r="AC59" s="35">
        <f>Y59*Z59*AB59</f>
        <v>36000000</v>
      </c>
      <c r="AD59" s="250">
        <f>SUM(AC59:AC63)</f>
        <v>37000000</v>
      </c>
      <c r="AE59" s="251">
        <f>T59+AD59</f>
        <v>118360000</v>
      </c>
      <c r="AF59" s="31"/>
      <c r="AG59" s="81"/>
      <c r="AH59" s="81"/>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row>
    <row r="60" spans="1:66" s="19" customFormat="1" ht="37.5" customHeight="1">
      <c r="A60" s="262"/>
      <c r="B60" s="263"/>
      <c r="C60" s="60"/>
      <c r="D60" s="258"/>
      <c r="E60" s="258"/>
      <c r="F60" s="258"/>
      <c r="G60" s="258"/>
      <c r="H60" s="250"/>
      <c r="I60" s="256"/>
      <c r="J60" s="264"/>
      <c r="K60" s="264"/>
      <c r="L60" s="60"/>
      <c r="M60" s="277"/>
      <c r="N60" s="264"/>
      <c r="O60" s="264"/>
      <c r="P60" s="264"/>
      <c r="Q60" s="264"/>
      <c r="R60" s="264"/>
      <c r="S60" s="264"/>
      <c r="T60" s="264"/>
      <c r="U60" s="49" t="s">
        <v>498</v>
      </c>
      <c r="V60" s="109">
        <v>25</v>
      </c>
      <c r="W60" s="109">
        <f>(H59-Y59)/25</f>
        <v>0.64</v>
      </c>
      <c r="X60" s="39" t="s">
        <v>2</v>
      </c>
      <c r="Y60" s="61">
        <v>2</v>
      </c>
      <c r="Z60" s="48"/>
      <c r="AA60" s="79"/>
      <c r="AB60" s="80"/>
      <c r="AC60" s="35"/>
      <c r="AD60" s="250"/>
      <c r="AE60" s="251"/>
      <c r="AF60" s="31"/>
      <c r="AG60" s="81"/>
      <c r="AH60" s="81"/>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c r="BG60" s="153"/>
      <c r="BH60" s="153"/>
      <c r="BI60" s="153"/>
      <c r="BJ60" s="153"/>
      <c r="BK60" s="153"/>
      <c r="BL60" s="153"/>
      <c r="BM60" s="153"/>
      <c r="BN60" s="153"/>
    </row>
    <row r="61" spans="1:66" s="19" customFormat="1" ht="21.75" customHeight="1">
      <c r="A61" s="262"/>
      <c r="B61" s="263"/>
      <c r="C61" s="60"/>
      <c r="D61" s="258"/>
      <c r="E61" s="258"/>
      <c r="F61" s="258"/>
      <c r="G61" s="258"/>
      <c r="H61" s="250"/>
      <c r="I61" s="256"/>
      <c r="J61" s="264"/>
      <c r="K61" s="264"/>
      <c r="L61" s="60"/>
      <c r="M61" s="277"/>
      <c r="N61" s="264"/>
      <c r="O61" s="264"/>
      <c r="P61" s="264"/>
      <c r="Q61" s="264"/>
      <c r="R61" s="264"/>
      <c r="S61" s="264"/>
      <c r="T61" s="264"/>
      <c r="U61" s="67" t="s">
        <v>421</v>
      </c>
      <c r="V61" s="109"/>
      <c r="W61" s="109"/>
      <c r="X61" s="39" t="s">
        <v>2</v>
      </c>
      <c r="Y61" s="35">
        <v>1</v>
      </c>
      <c r="Z61" s="62">
        <v>1000000</v>
      </c>
      <c r="AA61" s="86"/>
      <c r="AB61" s="68">
        <v>1</v>
      </c>
      <c r="AC61" s="35">
        <f t="shared" ref="AC61:AC62" si="9">Y61*Z61*AB61</f>
        <v>1000000</v>
      </c>
      <c r="AD61" s="250"/>
      <c r="AE61" s="251"/>
      <c r="AF61" s="31"/>
      <c r="AG61" s="81"/>
      <c r="AH61" s="81"/>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153"/>
      <c r="BK61" s="153"/>
      <c r="BL61" s="153"/>
      <c r="BM61" s="153"/>
      <c r="BN61" s="153"/>
    </row>
    <row r="62" spans="1:66" s="19" customFormat="1" ht="21.75" customHeight="1">
      <c r="A62" s="262"/>
      <c r="B62" s="263"/>
      <c r="C62" s="60"/>
      <c r="D62" s="258"/>
      <c r="E62" s="258"/>
      <c r="F62" s="258"/>
      <c r="G62" s="258"/>
      <c r="H62" s="250"/>
      <c r="I62" s="256"/>
      <c r="J62" s="264"/>
      <c r="K62" s="264"/>
      <c r="L62" s="60"/>
      <c r="M62" s="277"/>
      <c r="N62" s="264"/>
      <c r="O62" s="264"/>
      <c r="P62" s="264"/>
      <c r="Q62" s="264"/>
      <c r="R62" s="264"/>
      <c r="S62" s="264"/>
      <c r="T62" s="264"/>
      <c r="U62" s="67" t="s">
        <v>424</v>
      </c>
      <c r="V62" s="109"/>
      <c r="W62" s="109">
        <f>0.3*W60</f>
        <v>0.192</v>
      </c>
      <c r="X62" s="39" t="s">
        <v>2</v>
      </c>
      <c r="Y62" s="35">
        <v>1</v>
      </c>
      <c r="Z62" s="62">
        <v>1000000</v>
      </c>
      <c r="AA62" s="79"/>
      <c r="AB62" s="68">
        <v>0</v>
      </c>
      <c r="AC62" s="35">
        <f t="shared" si="9"/>
        <v>0</v>
      </c>
      <c r="AD62" s="250"/>
      <c r="AE62" s="251"/>
      <c r="AF62" s="31"/>
      <c r="AG62" s="81"/>
      <c r="AH62" s="81"/>
      <c r="AI62" s="153"/>
      <c r="AJ62" s="153"/>
      <c r="AK62" s="153"/>
      <c r="AL62" s="153"/>
      <c r="AM62" s="153"/>
      <c r="AN62" s="153"/>
      <c r="AO62" s="153"/>
      <c r="AP62" s="153"/>
      <c r="AQ62" s="153"/>
      <c r="AR62" s="153"/>
      <c r="AS62" s="153"/>
      <c r="AT62" s="153"/>
      <c r="AU62" s="153"/>
      <c r="AV62" s="153"/>
      <c r="AW62" s="153"/>
      <c r="AX62" s="153"/>
      <c r="AY62" s="153"/>
      <c r="AZ62" s="153"/>
      <c r="BA62" s="153"/>
      <c r="BB62" s="153"/>
      <c r="BC62" s="153"/>
      <c r="BD62" s="153"/>
      <c r="BE62" s="153"/>
      <c r="BF62" s="153"/>
      <c r="BG62" s="153"/>
      <c r="BH62" s="153"/>
      <c r="BI62" s="153"/>
      <c r="BJ62" s="153"/>
      <c r="BK62" s="153"/>
      <c r="BL62" s="153"/>
      <c r="BM62" s="153"/>
      <c r="BN62" s="153"/>
    </row>
    <row r="63" spans="1:66" s="19" customFormat="1" ht="43.5" customHeight="1">
      <c r="A63" s="262"/>
      <c r="B63" s="263"/>
      <c r="C63" s="60"/>
      <c r="D63" s="258"/>
      <c r="E63" s="258"/>
      <c r="F63" s="258"/>
      <c r="G63" s="258"/>
      <c r="H63" s="250"/>
      <c r="I63" s="256"/>
      <c r="J63" s="264"/>
      <c r="K63" s="264"/>
      <c r="L63" s="60"/>
      <c r="M63" s="277"/>
      <c r="N63" s="264"/>
      <c r="O63" s="264"/>
      <c r="P63" s="264"/>
      <c r="Q63" s="264"/>
      <c r="R63" s="264"/>
      <c r="S63" s="264"/>
      <c r="T63" s="264"/>
      <c r="U63" s="49" t="s">
        <v>499</v>
      </c>
      <c r="V63" s="109"/>
      <c r="W63" s="109"/>
      <c r="X63" s="39" t="s">
        <v>630</v>
      </c>
      <c r="Y63" s="61">
        <v>0.2</v>
      </c>
      <c r="Z63" s="62"/>
      <c r="AA63" s="86"/>
      <c r="AB63" s="68">
        <v>0</v>
      </c>
      <c r="AC63" s="35"/>
      <c r="AD63" s="250"/>
      <c r="AE63" s="251"/>
      <c r="AF63" s="31"/>
      <c r="AG63" s="81"/>
      <c r="AH63" s="81"/>
      <c r="AI63" s="153"/>
      <c r="AJ63" s="153"/>
      <c r="AK63" s="153"/>
      <c r="AL63" s="153"/>
      <c r="AM63" s="153"/>
      <c r="AN63" s="153"/>
      <c r="AO63" s="153"/>
      <c r="AP63" s="153"/>
      <c r="AQ63" s="153"/>
      <c r="AR63" s="153"/>
      <c r="AS63" s="153"/>
      <c r="AT63" s="153"/>
      <c r="AU63" s="153"/>
      <c r="AV63" s="153"/>
      <c r="AW63" s="153"/>
      <c r="AX63" s="153"/>
      <c r="AY63" s="153"/>
      <c r="AZ63" s="153"/>
      <c r="BA63" s="153"/>
      <c r="BB63" s="153"/>
      <c r="BC63" s="153"/>
      <c r="BD63" s="153"/>
      <c r="BE63" s="153"/>
      <c r="BF63" s="153"/>
      <c r="BG63" s="153"/>
      <c r="BH63" s="153"/>
      <c r="BI63" s="153"/>
      <c r="BJ63" s="153"/>
      <c r="BK63" s="153"/>
      <c r="BL63" s="153"/>
      <c r="BM63" s="153"/>
      <c r="BN63" s="153"/>
    </row>
    <row r="64" spans="1:66" s="27" customFormat="1" ht="39.75" customHeight="1">
      <c r="A64" s="274">
        <v>10</v>
      </c>
      <c r="B64" s="271" t="s">
        <v>409</v>
      </c>
      <c r="C64" s="271" t="s">
        <v>409</v>
      </c>
      <c r="D64" s="258">
        <v>64</v>
      </c>
      <c r="E64" s="258">
        <v>472</v>
      </c>
      <c r="F64" s="258">
        <v>941.9</v>
      </c>
      <c r="G64" s="258" t="s">
        <v>28</v>
      </c>
      <c r="H64" s="250">
        <v>936</v>
      </c>
      <c r="I64" s="256">
        <f>F64-H64</f>
        <v>5.8999999999999773</v>
      </c>
      <c r="J64" s="251">
        <v>936</v>
      </c>
      <c r="K64" s="251">
        <v>1296</v>
      </c>
      <c r="L64" s="250">
        <v>936</v>
      </c>
      <c r="M64" s="272">
        <f>J64/K64*100</f>
        <v>72.222222222222214</v>
      </c>
      <c r="N64" s="250">
        <v>12</v>
      </c>
      <c r="O64" s="250">
        <v>8</v>
      </c>
      <c r="P64" s="250">
        <v>80000</v>
      </c>
      <c r="Q64" s="250">
        <f>P64*J64</f>
        <v>74880000</v>
      </c>
      <c r="R64" s="250">
        <f>Q64*3</f>
        <v>224640000</v>
      </c>
      <c r="S64" s="250">
        <f>N64*O64*17000*30</f>
        <v>48960000</v>
      </c>
      <c r="T64" s="250">
        <f>SUM(Q64:S68)</f>
        <v>348480000</v>
      </c>
      <c r="U64" s="82" t="s">
        <v>457</v>
      </c>
      <c r="V64" s="50">
        <v>25</v>
      </c>
      <c r="W64" s="50">
        <f>J64/V64</f>
        <v>37.44</v>
      </c>
      <c r="X64" s="39" t="s">
        <v>2</v>
      </c>
      <c r="Y64" s="35">
        <v>35</v>
      </c>
      <c r="Z64" s="62"/>
      <c r="AA64" s="84"/>
      <c r="AB64" s="68"/>
      <c r="AC64" s="35">
        <f>Y64*Z64*AB64</f>
        <v>0</v>
      </c>
      <c r="AD64" s="250">
        <f>SUM(AC64:AC68)</f>
        <v>176250000</v>
      </c>
      <c r="AE64" s="251">
        <f>T64+AD64</f>
        <v>524730000</v>
      </c>
      <c r="AF64" s="87">
        <f>Y64*25</f>
        <v>875</v>
      </c>
      <c r="AG64" s="88" t="s">
        <v>395</v>
      </c>
      <c r="AH64" s="88"/>
      <c r="AI64" s="238" t="s">
        <v>657</v>
      </c>
      <c r="AJ64" s="238" t="s">
        <v>681</v>
      </c>
      <c r="AK64" s="297"/>
      <c r="AL64" s="297"/>
      <c r="AM64" s="297"/>
      <c r="AN64" s="297"/>
      <c r="AO64" s="297"/>
      <c r="AP64" s="297"/>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row>
    <row r="65" spans="1:66" s="27" customFormat="1" ht="23.25" customHeight="1">
      <c r="A65" s="275"/>
      <c r="B65" s="271"/>
      <c r="C65" s="271"/>
      <c r="D65" s="258"/>
      <c r="E65" s="258"/>
      <c r="F65" s="258"/>
      <c r="G65" s="258"/>
      <c r="H65" s="250"/>
      <c r="I65" s="256"/>
      <c r="J65" s="251"/>
      <c r="K65" s="251"/>
      <c r="L65" s="250"/>
      <c r="M65" s="272"/>
      <c r="N65" s="250"/>
      <c r="O65" s="250"/>
      <c r="P65" s="250"/>
      <c r="Q65" s="250"/>
      <c r="R65" s="250"/>
      <c r="S65" s="250"/>
      <c r="T65" s="250"/>
      <c r="U65" s="67" t="s">
        <v>421</v>
      </c>
      <c r="V65" s="50"/>
      <c r="W65" s="50"/>
      <c r="X65" s="39" t="s">
        <v>2</v>
      </c>
      <c r="Y65" s="35">
        <v>35</v>
      </c>
      <c r="Z65" s="62">
        <v>4500000</v>
      </c>
      <c r="AA65" s="84"/>
      <c r="AB65" s="68">
        <v>1</v>
      </c>
      <c r="AC65" s="35">
        <f>Y65*Z65*AB65</f>
        <v>157500000</v>
      </c>
      <c r="AD65" s="250"/>
      <c r="AE65" s="251"/>
      <c r="AF65" s="87"/>
      <c r="AG65" s="88"/>
      <c r="AH65" s="88"/>
      <c r="AI65" s="238"/>
      <c r="AJ65" s="238"/>
      <c r="AK65" s="297"/>
      <c r="AL65" s="297"/>
      <c r="AM65" s="297"/>
      <c r="AN65" s="297"/>
      <c r="AO65" s="297"/>
      <c r="AP65" s="297"/>
      <c r="AQ65" s="297"/>
      <c r="AR65" s="297"/>
      <c r="AS65" s="297"/>
      <c r="AT65" s="297"/>
      <c r="AU65" s="297"/>
      <c r="AV65" s="297"/>
      <c r="AW65" s="297"/>
      <c r="AX65" s="297"/>
      <c r="AY65" s="297"/>
      <c r="AZ65" s="297"/>
      <c r="BA65" s="297"/>
      <c r="BB65" s="297"/>
      <c r="BC65" s="297"/>
      <c r="BD65" s="297"/>
      <c r="BE65" s="297"/>
      <c r="BF65" s="297"/>
      <c r="BG65" s="297"/>
      <c r="BH65" s="297"/>
      <c r="BI65" s="297"/>
      <c r="BJ65" s="297"/>
      <c r="BK65" s="297"/>
      <c r="BL65" s="297"/>
      <c r="BM65" s="297"/>
      <c r="BN65" s="297"/>
    </row>
    <row r="66" spans="1:66" s="27" customFormat="1" ht="42.75" customHeight="1">
      <c r="A66" s="275"/>
      <c r="B66" s="271"/>
      <c r="C66" s="271"/>
      <c r="D66" s="258"/>
      <c r="E66" s="258"/>
      <c r="F66" s="258"/>
      <c r="G66" s="258"/>
      <c r="H66" s="250"/>
      <c r="I66" s="256"/>
      <c r="J66" s="251"/>
      <c r="K66" s="251"/>
      <c r="L66" s="250"/>
      <c r="M66" s="272"/>
      <c r="N66" s="250"/>
      <c r="O66" s="250"/>
      <c r="P66" s="250"/>
      <c r="Q66" s="250"/>
      <c r="R66" s="250"/>
      <c r="S66" s="250"/>
      <c r="T66" s="250"/>
      <c r="U66" s="82" t="s">
        <v>460</v>
      </c>
      <c r="V66" s="50">
        <v>20</v>
      </c>
      <c r="W66" s="50">
        <f>J64/V66</f>
        <v>46.8</v>
      </c>
      <c r="X66" s="39" t="s">
        <v>2</v>
      </c>
      <c r="Y66" s="35">
        <v>15</v>
      </c>
      <c r="Z66" s="62"/>
      <c r="AA66" s="84"/>
      <c r="AB66" s="68"/>
      <c r="AC66" s="35">
        <f>Y66*Z66*AB66</f>
        <v>0</v>
      </c>
      <c r="AD66" s="250"/>
      <c r="AE66" s="251"/>
      <c r="AF66" s="87"/>
      <c r="AG66" s="88"/>
      <c r="AH66" s="88"/>
      <c r="AI66" s="238"/>
      <c r="AJ66" s="238"/>
      <c r="AK66" s="297"/>
      <c r="AL66" s="297"/>
      <c r="AM66" s="297"/>
      <c r="AN66" s="297"/>
      <c r="AO66" s="297"/>
      <c r="AP66" s="297"/>
      <c r="AQ66" s="297"/>
      <c r="AR66" s="297"/>
      <c r="AS66" s="297"/>
      <c r="AT66" s="297"/>
      <c r="AU66" s="297"/>
      <c r="AV66" s="297"/>
      <c r="AW66" s="297"/>
      <c r="AX66" s="297"/>
      <c r="AY66" s="297"/>
      <c r="AZ66" s="297"/>
      <c r="BA66" s="297"/>
      <c r="BB66" s="297"/>
      <c r="BC66" s="297"/>
      <c r="BD66" s="297"/>
      <c r="BE66" s="297"/>
      <c r="BF66" s="297"/>
      <c r="BG66" s="297"/>
      <c r="BH66" s="297"/>
      <c r="BI66" s="297"/>
      <c r="BJ66" s="297"/>
      <c r="BK66" s="297"/>
      <c r="BL66" s="297"/>
      <c r="BM66" s="297"/>
      <c r="BN66" s="297"/>
    </row>
    <row r="67" spans="1:66" s="27" customFormat="1" ht="27.75" customHeight="1">
      <c r="A67" s="275"/>
      <c r="B67" s="271"/>
      <c r="C67" s="271"/>
      <c r="D67" s="258"/>
      <c r="E67" s="258"/>
      <c r="F67" s="258"/>
      <c r="G67" s="258"/>
      <c r="H67" s="250"/>
      <c r="I67" s="256"/>
      <c r="J67" s="251"/>
      <c r="K67" s="251"/>
      <c r="L67" s="250"/>
      <c r="M67" s="272"/>
      <c r="N67" s="250"/>
      <c r="O67" s="250"/>
      <c r="P67" s="250"/>
      <c r="Q67" s="250"/>
      <c r="R67" s="250"/>
      <c r="S67" s="250"/>
      <c r="T67" s="250"/>
      <c r="U67" s="67" t="s">
        <v>421</v>
      </c>
      <c r="V67" s="50"/>
      <c r="W67" s="50"/>
      <c r="X67" s="39" t="s">
        <v>2</v>
      </c>
      <c r="Y67" s="35">
        <v>15</v>
      </c>
      <c r="Z67" s="62">
        <v>2500000</v>
      </c>
      <c r="AA67" s="84"/>
      <c r="AB67" s="68">
        <v>0.5</v>
      </c>
      <c r="AC67" s="35">
        <f>Y67*Z67*AB67</f>
        <v>18750000</v>
      </c>
      <c r="AD67" s="250"/>
      <c r="AE67" s="251"/>
      <c r="AF67" s="87"/>
      <c r="AG67" s="88"/>
      <c r="AH67" s="88"/>
      <c r="AI67" s="238"/>
      <c r="AJ67" s="238"/>
      <c r="AK67" s="297"/>
      <c r="AL67" s="297"/>
      <c r="AM67" s="297"/>
      <c r="AN67" s="297"/>
      <c r="AO67" s="297"/>
      <c r="AP67" s="297"/>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row>
    <row r="68" spans="1:66" s="27" customFormat="1" ht="27.75" customHeight="1">
      <c r="A68" s="276"/>
      <c r="B68" s="271"/>
      <c r="C68" s="271"/>
      <c r="D68" s="258"/>
      <c r="E68" s="258"/>
      <c r="F68" s="258"/>
      <c r="G68" s="258"/>
      <c r="H68" s="250"/>
      <c r="I68" s="256"/>
      <c r="J68" s="251"/>
      <c r="K68" s="251"/>
      <c r="L68" s="250"/>
      <c r="M68" s="272"/>
      <c r="N68" s="250"/>
      <c r="O68" s="250"/>
      <c r="P68" s="250"/>
      <c r="Q68" s="250"/>
      <c r="R68" s="250"/>
      <c r="S68" s="250"/>
      <c r="T68" s="250"/>
      <c r="U68" s="49" t="s">
        <v>419</v>
      </c>
      <c r="V68" s="39"/>
      <c r="W68" s="39"/>
      <c r="X68" s="39" t="s">
        <v>399</v>
      </c>
      <c r="Y68" s="35">
        <v>1</v>
      </c>
      <c r="Z68" s="62"/>
      <c r="AA68" s="84"/>
      <c r="AB68" s="39">
        <v>0</v>
      </c>
      <c r="AC68" s="35">
        <f t="shared" ref="AC68" si="10">Y68*Z68*AB68/100</f>
        <v>0</v>
      </c>
      <c r="AD68" s="250"/>
      <c r="AE68" s="251"/>
      <c r="AF68" s="87"/>
      <c r="AG68" s="88"/>
      <c r="AH68" s="88"/>
      <c r="AI68" s="238"/>
      <c r="AJ68" s="238"/>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row>
    <row r="69" spans="1:66" s="27" customFormat="1" ht="42.75" customHeight="1">
      <c r="A69" s="262">
        <v>11</v>
      </c>
      <c r="B69" s="271" t="s">
        <v>412</v>
      </c>
      <c r="C69" s="271" t="s">
        <v>412</v>
      </c>
      <c r="D69" s="258">
        <v>3</v>
      </c>
      <c r="E69" s="258">
        <v>443</v>
      </c>
      <c r="F69" s="258">
        <v>465.5</v>
      </c>
      <c r="G69" s="258" t="s">
        <v>28</v>
      </c>
      <c r="H69" s="250">
        <v>450</v>
      </c>
      <c r="I69" s="256">
        <f>F69-H69</f>
        <v>15.5</v>
      </c>
      <c r="J69" s="251">
        <v>450</v>
      </c>
      <c r="K69" s="251">
        <v>2520</v>
      </c>
      <c r="L69" s="250">
        <v>450</v>
      </c>
      <c r="M69" s="272">
        <f>J69/K69*100</f>
        <v>17.857142857142858</v>
      </c>
      <c r="N69" s="250">
        <v>3</v>
      </c>
      <c r="O69" s="250">
        <v>5</v>
      </c>
      <c r="P69" s="250">
        <v>80000</v>
      </c>
      <c r="Q69" s="250">
        <f>P69*J69</f>
        <v>36000000</v>
      </c>
      <c r="R69" s="250">
        <f>Q69*3</f>
        <v>108000000</v>
      </c>
      <c r="S69" s="250">
        <f>N69*O69*17000*30</f>
        <v>7650000</v>
      </c>
      <c r="T69" s="250">
        <f>SUM(Q69:S75)</f>
        <v>151650000</v>
      </c>
      <c r="U69" s="49" t="s">
        <v>622</v>
      </c>
      <c r="V69" s="39">
        <v>25</v>
      </c>
      <c r="W69" s="39">
        <f>J69/V69</f>
        <v>18</v>
      </c>
      <c r="X69" s="39" t="s">
        <v>2</v>
      </c>
      <c r="Y69" s="35">
        <v>7</v>
      </c>
      <c r="Z69" s="62"/>
      <c r="AA69" s="84"/>
      <c r="AB69" s="68"/>
      <c r="AC69" s="35">
        <f>Y69*Z69*AB69</f>
        <v>0</v>
      </c>
      <c r="AD69" s="250">
        <f>SUM(AC69:AC75)</f>
        <v>79625000</v>
      </c>
      <c r="AE69" s="251">
        <f>T69+AD69</f>
        <v>231275000</v>
      </c>
      <c r="AF69" s="90">
        <f>Y69*25</f>
        <v>175</v>
      </c>
      <c r="AG69" s="88" t="s">
        <v>658</v>
      </c>
      <c r="AH69" s="88"/>
      <c r="AI69" s="238" t="s">
        <v>659</v>
      </c>
      <c r="AJ69" s="238" t="s">
        <v>681</v>
      </c>
      <c r="AK69" s="297"/>
      <c r="AL69" s="297"/>
      <c r="AM69" s="297"/>
      <c r="AN69" s="297"/>
      <c r="AO69" s="297"/>
      <c r="AP69" s="297"/>
      <c r="AQ69" s="297"/>
      <c r="AR69" s="297"/>
      <c r="AS69" s="297"/>
      <c r="AT69" s="297"/>
      <c r="AU69" s="297"/>
      <c r="AV69" s="297"/>
      <c r="AW69" s="297"/>
      <c r="AX69" s="297"/>
      <c r="AY69" s="297"/>
      <c r="AZ69" s="297"/>
      <c r="BA69" s="297"/>
      <c r="BB69" s="297"/>
      <c r="BC69" s="297"/>
      <c r="BD69" s="297"/>
      <c r="BE69" s="297"/>
      <c r="BF69" s="297"/>
      <c r="BG69" s="297"/>
      <c r="BH69" s="297"/>
      <c r="BI69" s="297"/>
      <c r="BJ69" s="297"/>
      <c r="BK69" s="297"/>
      <c r="BL69" s="297"/>
      <c r="BM69" s="297"/>
      <c r="BN69" s="297"/>
    </row>
    <row r="70" spans="1:66" s="27" customFormat="1" ht="23.25" customHeight="1">
      <c r="A70" s="262"/>
      <c r="B70" s="271"/>
      <c r="C70" s="271"/>
      <c r="D70" s="258"/>
      <c r="E70" s="258"/>
      <c r="F70" s="258"/>
      <c r="G70" s="258"/>
      <c r="H70" s="250"/>
      <c r="I70" s="256"/>
      <c r="J70" s="251"/>
      <c r="K70" s="251"/>
      <c r="L70" s="250"/>
      <c r="M70" s="272"/>
      <c r="N70" s="250"/>
      <c r="O70" s="250"/>
      <c r="P70" s="250"/>
      <c r="Q70" s="250"/>
      <c r="R70" s="250"/>
      <c r="S70" s="250"/>
      <c r="T70" s="250"/>
      <c r="U70" s="67" t="s">
        <v>421</v>
      </c>
      <c r="V70" s="39"/>
      <c r="W70" s="39"/>
      <c r="X70" s="39" t="s">
        <v>2</v>
      </c>
      <c r="Y70" s="35">
        <v>7</v>
      </c>
      <c r="Z70" s="62">
        <v>4500000</v>
      </c>
      <c r="AA70" s="84"/>
      <c r="AB70" s="68">
        <v>1</v>
      </c>
      <c r="AC70" s="35">
        <f>Y70*Z70*AB70</f>
        <v>31500000</v>
      </c>
      <c r="AD70" s="250"/>
      <c r="AE70" s="251"/>
      <c r="AF70" s="90"/>
      <c r="AG70" s="88"/>
      <c r="AH70" s="88"/>
      <c r="AI70" s="238"/>
      <c r="AJ70" s="238"/>
      <c r="AK70" s="297"/>
      <c r="AL70" s="297"/>
      <c r="AM70" s="297"/>
      <c r="AN70" s="297"/>
      <c r="AO70" s="297"/>
      <c r="AP70" s="297"/>
      <c r="AQ70" s="297"/>
      <c r="AR70" s="297"/>
      <c r="AS70" s="297"/>
      <c r="AT70" s="297"/>
      <c r="AU70" s="297"/>
      <c r="AV70" s="297"/>
      <c r="AW70" s="297"/>
      <c r="AX70" s="297"/>
      <c r="AY70" s="297"/>
      <c r="AZ70" s="297"/>
      <c r="BA70" s="297"/>
      <c r="BB70" s="297"/>
      <c r="BC70" s="297"/>
      <c r="BD70" s="297"/>
      <c r="BE70" s="297"/>
      <c r="BF70" s="297"/>
      <c r="BG70" s="297"/>
      <c r="BH70" s="297"/>
      <c r="BI70" s="297"/>
      <c r="BJ70" s="297"/>
      <c r="BK70" s="297"/>
      <c r="BL70" s="297"/>
      <c r="BM70" s="297"/>
      <c r="BN70" s="297"/>
    </row>
    <row r="71" spans="1:66" s="27" customFormat="1" ht="51" customHeight="1">
      <c r="A71" s="262"/>
      <c r="B71" s="271"/>
      <c r="C71" s="271"/>
      <c r="D71" s="258"/>
      <c r="E71" s="258"/>
      <c r="F71" s="258"/>
      <c r="G71" s="258"/>
      <c r="H71" s="250"/>
      <c r="I71" s="256"/>
      <c r="J71" s="251"/>
      <c r="K71" s="251"/>
      <c r="L71" s="250"/>
      <c r="M71" s="272"/>
      <c r="N71" s="250"/>
      <c r="O71" s="250"/>
      <c r="P71" s="250"/>
      <c r="Q71" s="250"/>
      <c r="R71" s="250"/>
      <c r="S71" s="250"/>
      <c r="T71" s="250"/>
      <c r="U71" s="82" t="s">
        <v>660</v>
      </c>
      <c r="V71" s="50"/>
      <c r="W71" s="50"/>
      <c r="X71" s="39" t="s">
        <v>2</v>
      </c>
      <c r="Y71" s="35">
        <v>14</v>
      </c>
      <c r="Z71" s="62"/>
      <c r="AA71" s="84"/>
      <c r="AB71" s="68"/>
      <c r="AC71" s="35">
        <f>Y71*Z71*AB71</f>
        <v>0</v>
      </c>
      <c r="AD71" s="250"/>
      <c r="AE71" s="251"/>
      <c r="AF71" s="90">
        <f>Y71*25</f>
        <v>350</v>
      </c>
      <c r="AG71" s="88"/>
      <c r="AH71" s="88"/>
      <c r="AI71" s="238"/>
      <c r="AJ71" s="238"/>
      <c r="AK71" s="297"/>
      <c r="AL71" s="297"/>
      <c r="AM71" s="297"/>
      <c r="AN71" s="297"/>
      <c r="AO71" s="297"/>
      <c r="AP71" s="297"/>
      <c r="AQ71" s="297"/>
      <c r="AR71" s="297"/>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row>
    <row r="72" spans="1:66" s="27" customFormat="1" ht="23.25" customHeight="1">
      <c r="A72" s="262"/>
      <c r="B72" s="271"/>
      <c r="C72" s="271"/>
      <c r="D72" s="258"/>
      <c r="E72" s="258"/>
      <c r="F72" s="258"/>
      <c r="G72" s="258"/>
      <c r="H72" s="250"/>
      <c r="I72" s="256"/>
      <c r="J72" s="251"/>
      <c r="K72" s="251"/>
      <c r="L72" s="250"/>
      <c r="M72" s="272"/>
      <c r="N72" s="250"/>
      <c r="O72" s="250"/>
      <c r="P72" s="250"/>
      <c r="Q72" s="250"/>
      <c r="R72" s="250"/>
      <c r="S72" s="250"/>
      <c r="T72" s="250"/>
      <c r="U72" s="67" t="s">
        <v>421</v>
      </c>
      <c r="V72" s="50"/>
      <c r="W72" s="50"/>
      <c r="X72" s="39" t="s">
        <v>2</v>
      </c>
      <c r="Y72" s="35">
        <f>18-Y70</f>
        <v>11</v>
      </c>
      <c r="Z72" s="62">
        <v>3850000</v>
      </c>
      <c r="AA72" s="84"/>
      <c r="AB72" s="68">
        <v>1</v>
      </c>
      <c r="AC72" s="35">
        <f>Y72*Z72*AB72</f>
        <v>42350000</v>
      </c>
      <c r="AD72" s="250"/>
      <c r="AE72" s="251"/>
      <c r="AF72" s="90"/>
      <c r="AG72" s="88"/>
      <c r="AH72" s="88"/>
      <c r="AI72" s="238"/>
      <c r="AJ72" s="238"/>
      <c r="AK72" s="297"/>
      <c r="AL72" s="297"/>
      <c r="AM72" s="297"/>
      <c r="AN72" s="297"/>
      <c r="AO72" s="297"/>
      <c r="AP72" s="297"/>
      <c r="AQ72" s="297"/>
      <c r="AR72" s="297"/>
      <c r="AS72" s="297"/>
      <c r="AT72" s="297"/>
      <c r="AU72" s="297"/>
      <c r="AV72" s="297"/>
      <c r="AW72" s="297"/>
      <c r="AX72" s="297"/>
      <c r="AY72" s="297"/>
      <c r="AZ72" s="297"/>
      <c r="BA72" s="297"/>
      <c r="BB72" s="297"/>
      <c r="BC72" s="297"/>
      <c r="BD72" s="297"/>
      <c r="BE72" s="297"/>
      <c r="BF72" s="297"/>
      <c r="BG72" s="297"/>
      <c r="BH72" s="297"/>
      <c r="BI72" s="297"/>
      <c r="BJ72" s="297"/>
      <c r="BK72" s="297"/>
      <c r="BL72" s="297"/>
      <c r="BM72" s="297"/>
      <c r="BN72" s="297"/>
    </row>
    <row r="73" spans="1:66" s="27" customFormat="1" ht="23.25" customHeight="1">
      <c r="A73" s="262"/>
      <c r="B73" s="271"/>
      <c r="C73" s="271"/>
      <c r="D73" s="258"/>
      <c r="E73" s="258"/>
      <c r="F73" s="258"/>
      <c r="G73" s="258"/>
      <c r="H73" s="250"/>
      <c r="I73" s="256"/>
      <c r="J73" s="251"/>
      <c r="K73" s="251"/>
      <c r="L73" s="250"/>
      <c r="M73" s="272"/>
      <c r="N73" s="250"/>
      <c r="O73" s="250"/>
      <c r="P73" s="250"/>
      <c r="Q73" s="250"/>
      <c r="R73" s="250"/>
      <c r="S73" s="250"/>
      <c r="T73" s="250"/>
      <c r="U73" s="67" t="s">
        <v>423</v>
      </c>
      <c r="V73" s="50"/>
      <c r="W73" s="50"/>
      <c r="X73" s="39" t="s">
        <v>2</v>
      </c>
      <c r="Y73" s="35">
        <v>3</v>
      </c>
      <c r="Z73" s="62">
        <v>3850000</v>
      </c>
      <c r="AA73" s="84"/>
      <c r="AB73" s="68">
        <v>0.5</v>
      </c>
      <c r="AC73" s="35">
        <f>Y73*Z73*AB73</f>
        <v>5775000</v>
      </c>
      <c r="AD73" s="250"/>
      <c r="AE73" s="251"/>
      <c r="AF73" s="90"/>
      <c r="AG73" s="88"/>
      <c r="AH73" s="88"/>
      <c r="AI73" s="238"/>
      <c r="AJ73" s="238"/>
      <c r="AK73" s="297"/>
      <c r="AL73" s="297"/>
      <c r="AM73" s="297"/>
      <c r="AN73" s="297"/>
      <c r="AO73" s="297"/>
      <c r="AP73" s="297"/>
      <c r="AQ73" s="297"/>
      <c r="AR73" s="297"/>
      <c r="AS73" s="297"/>
      <c r="AT73" s="297"/>
      <c r="AU73" s="297"/>
      <c r="AV73" s="297"/>
      <c r="AW73" s="297"/>
      <c r="AX73" s="297"/>
      <c r="AY73" s="297"/>
      <c r="AZ73" s="297"/>
      <c r="BA73" s="297"/>
      <c r="BB73" s="297"/>
      <c r="BC73" s="297"/>
      <c r="BD73" s="297"/>
      <c r="BE73" s="297"/>
      <c r="BF73" s="297"/>
      <c r="BG73" s="297"/>
      <c r="BH73" s="297"/>
      <c r="BI73" s="297"/>
      <c r="BJ73" s="297"/>
      <c r="BK73" s="297"/>
      <c r="BL73" s="297"/>
      <c r="BM73" s="297"/>
      <c r="BN73" s="297"/>
    </row>
    <row r="74" spans="1:66" s="27" customFormat="1" ht="42" customHeight="1">
      <c r="A74" s="262"/>
      <c r="B74" s="271"/>
      <c r="C74" s="271"/>
      <c r="D74" s="258"/>
      <c r="E74" s="258"/>
      <c r="F74" s="258"/>
      <c r="G74" s="258"/>
      <c r="H74" s="250"/>
      <c r="I74" s="256"/>
      <c r="J74" s="251"/>
      <c r="K74" s="251"/>
      <c r="L74" s="250"/>
      <c r="M74" s="272"/>
      <c r="N74" s="250"/>
      <c r="O74" s="250"/>
      <c r="P74" s="250"/>
      <c r="Q74" s="250"/>
      <c r="R74" s="250"/>
      <c r="S74" s="250"/>
      <c r="T74" s="250"/>
      <c r="U74" s="49" t="s">
        <v>661</v>
      </c>
      <c r="V74" s="39"/>
      <c r="W74" s="39"/>
      <c r="X74" s="39" t="s">
        <v>6</v>
      </c>
      <c r="Y74" s="61">
        <v>6</v>
      </c>
      <c r="Z74" s="100"/>
      <c r="AA74" s="84"/>
      <c r="AB74" s="39">
        <v>0</v>
      </c>
      <c r="AC74" s="35">
        <f t="shared" ref="AC74:AC75" si="11">Y74*Z74*AB74/100</f>
        <v>0</v>
      </c>
      <c r="AD74" s="250"/>
      <c r="AE74" s="251"/>
      <c r="AF74" s="90"/>
      <c r="AG74" s="88"/>
      <c r="AH74" s="88"/>
      <c r="AI74" s="238"/>
      <c r="AJ74" s="238"/>
      <c r="AK74" s="297"/>
      <c r="AL74" s="297"/>
      <c r="AM74" s="297"/>
      <c r="AN74" s="297"/>
      <c r="AO74" s="297"/>
      <c r="AP74" s="297"/>
      <c r="AQ74" s="297"/>
      <c r="AR74" s="297"/>
      <c r="AS74" s="297"/>
      <c r="AT74" s="297"/>
      <c r="AU74" s="297"/>
      <c r="AV74" s="297"/>
      <c r="AW74" s="297"/>
      <c r="AX74" s="297"/>
      <c r="AY74" s="297"/>
      <c r="AZ74" s="297"/>
      <c r="BA74" s="297"/>
      <c r="BB74" s="297"/>
      <c r="BC74" s="297"/>
      <c r="BD74" s="297"/>
      <c r="BE74" s="297"/>
      <c r="BF74" s="297"/>
      <c r="BG74" s="297"/>
      <c r="BH74" s="297"/>
      <c r="BI74" s="297"/>
      <c r="BJ74" s="297"/>
      <c r="BK74" s="297"/>
      <c r="BL74" s="297"/>
      <c r="BM74" s="297"/>
      <c r="BN74" s="297"/>
    </row>
    <row r="75" spans="1:66" s="27" customFormat="1" ht="57.75" customHeight="1">
      <c r="A75" s="262"/>
      <c r="B75" s="271"/>
      <c r="C75" s="271"/>
      <c r="D75" s="258"/>
      <c r="E75" s="258"/>
      <c r="F75" s="258"/>
      <c r="G75" s="258"/>
      <c r="H75" s="250"/>
      <c r="I75" s="256"/>
      <c r="J75" s="251"/>
      <c r="K75" s="251"/>
      <c r="L75" s="250"/>
      <c r="M75" s="272"/>
      <c r="N75" s="250"/>
      <c r="O75" s="250"/>
      <c r="P75" s="250"/>
      <c r="Q75" s="250"/>
      <c r="R75" s="250"/>
      <c r="S75" s="250"/>
      <c r="T75" s="250"/>
      <c r="U75" s="49" t="s">
        <v>506</v>
      </c>
      <c r="V75" s="39"/>
      <c r="W75" s="39"/>
      <c r="X75" s="39" t="s">
        <v>6</v>
      </c>
      <c r="Y75" s="61">
        <v>188</v>
      </c>
      <c r="Z75" s="100"/>
      <c r="AA75" s="84"/>
      <c r="AB75" s="39">
        <v>0</v>
      </c>
      <c r="AC75" s="35">
        <f t="shared" si="11"/>
        <v>0</v>
      </c>
      <c r="AD75" s="250"/>
      <c r="AE75" s="251"/>
      <c r="AF75" s="91"/>
      <c r="AG75" s="88"/>
      <c r="AH75" s="88"/>
      <c r="AI75" s="238"/>
      <c r="AJ75" s="238"/>
      <c r="AK75" s="297"/>
      <c r="AL75" s="297"/>
      <c r="AM75" s="297"/>
      <c r="AN75" s="297"/>
      <c r="AO75" s="297"/>
      <c r="AP75" s="297"/>
      <c r="AQ75" s="297"/>
      <c r="AR75" s="297"/>
      <c r="AS75" s="297"/>
      <c r="AT75" s="297"/>
      <c r="AU75" s="297"/>
      <c r="AV75" s="297"/>
      <c r="AW75" s="297"/>
      <c r="AX75" s="297"/>
      <c r="AY75" s="297"/>
      <c r="AZ75" s="297"/>
      <c r="BA75" s="297"/>
      <c r="BB75" s="297"/>
      <c r="BC75" s="297"/>
      <c r="BD75" s="297"/>
      <c r="BE75" s="297"/>
      <c r="BF75" s="297"/>
      <c r="BG75" s="297"/>
      <c r="BH75" s="297"/>
      <c r="BI75" s="297"/>
      <c r="BJ75" s="297"/>
      <c r="BK75" s="297"/>
      <c r="BL75" s="297"/>
      <c r="BM75" s="297"/>
      <c r="BN75" s="297"/>
    </row>
    <row r="76" spans="1:66" s="18" customFormat="1" ht="24.75" customHeight="1">
      <c r="A76" s="71"/>
      <c r="B76" s="34" t="s">
        <v>616</v>
      </c>
      <c r="C76" s="30"/>
      <c r="D76" s="30"/>
      <c r="E76" s="30"/>
      <c r="F76" s="30"/>
      <c r="G76" s="30"/>
      <c r="H76" s="32"/>
      <c r="I76" s="92"/>
      <c r="J76" s="35"/>
      <c r="K76" s="35"/>
      <c r="L76" s="30"/>
      <c r="M76" s="93"/>
      <c r="N76" s="32"/>
      <c r="O76" s="32"/>
      <c r="P76" s="32"/>
      <c r="Q76" s="32"/>
      <c r="R76" s="32"/>
      <c r="S76" s="32"/>
      <c r="T76" s="32"/>
      <c r="U76" s="36"/>
      <c r="V76" s="33"/>
      <c r="W76" s="33"/>
      <c r="X76" s="30"/>
      <c r="Y76" s="32"/>
      <c r="Z76" s="94"/>
      <c r="AA76" s="95"/>
      <c r="AB76" s="96"/>
      <c r="AC76" s="32"/>
      <c r="AD76" s="32"/>
      <c r="AE76" s="32"/>
      <c r="AF76" s="31"/>
      <c r="AG76" s="97"/>
      <c r="AH76" s="97"/>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row>
    <row r="77" spans="1:66" s="26" customFormat="1" ht="32.25" customHeight="1">
      <c r="A77" s="262">
        <v>12</v>
      </c>
      <c r="B77" s="271" t="s">
        <v>402</v>
      </c>
      <c r="C77" s="271" t="s">
        <v>412</v>
      </c>
      <c r="D77" s="258">
        <v>64</v>
      </c>
      <c r="E77" s="258">
        <v>603</v>
      </c>
      <c r="F77" s="258">
        <v>1688.8</v>
      </c>
      <c r="G77" s="258" t="s">
        <v>28</v>
      </c>
      <c r="H77" s="250">
        <v>1800</v>
      </c>
      <c r="I77" s="256">
        <f>F77-H77</f>
        <v>-111.20000000000005</v>
      </c>
      <c r="J77" s="250">
        <v>1800</v>
      </c>
      <c r="K77" s="250">
        <v>1800</v>
      </c>
      <c r="L77" s="250"/>
      <c r="M77" s="272">
        <f>J77/K77*100</f>
        <v>100</v>
      </c>
      <c r="N77" s="250">
        <v>12</v>
      </c>
      <c r="O77" s="250">
        <v>9</v>
      </c>
      <c r="P77" s="250">
        <v>80000</v>
      </c>
      <c r="Q77" s="250">
        <f>P77*J77</f>
        <v>144000000</v>
      </c>
      <c r="R77" s="250">
        <f>Q77*3</f>
        <v>432000000</v>
      </c>
      <c r="S77" s="250">
        <f>N77*O77*17000*30</f>
        <v>55080000</v>
      </c>
      <c r="T77" s="250">
        <f>SUM(Q77:S85)</f>
        <v>631080000</v>
      </c>
      <c r="U77" s="65" t="s">
        <v>641</v>
      </c>
      <c r="V77" s="109">
        <v>25</v>
      </c>
      <c r="W77" s="109">
        <f>H77/25</f>
        <v>72</v>
      </c>
      <c r="X77" s="39" t="s">
        <v>2</v>
      </c>
      <c r="Y77" s="35">
        <v>9</v>
      </c>
      <c r="Z77" s="62"/>
      <c r="AA77" s="84"/>
      <c r="AB77" s="68"/>
      <c r="AC77" s="35"/>
      <c r="AD77" s="250">
        <f>SUM(AC77:AC85)</f>
        <v>142650000</v>
      </c>
      <c r="AE77" s="251">
        <f>T77+AD77</f>
        <v>773730000</v>
      </c>
      <c r="AF77" s="31" t="s">
        <v>452</v>
      </c>
      <c r="AG77" s="98"/>
      <c r="AH77" s="99"/>
      <c r="AI77" s="214"/>
      <c r="AJ77" s="214"/>
      <c r="AK77" s="297"/>
      <c r="AL77" s="297"/>
      <c r="AM77" s="297"/>
      <c r="AN77" s="297"/>
      <c r="AO77" s="297"/>
      <c r="AP77" s="297"/>
      <c r="AQ77" s="297"/>
      <c r="AR77" s="297"/>
      <c r="AS77" s="297"/>
      <c r="AT77" s="297"/>
      <c r="AU77" s="297"/>
      <c r="AV77" s="297"/>
      <c r="AW77" s="297"/>
      <c r="AX77" s="297"/>
      <c r="AY77" s="297"/>
      <c r="AZ77" s="297"/>
      <c r="BA77" s="297"/>
      <c r="BB77" s="297"/>
      <c r="BC77" s="297"/>
      <c r="BD77" s="297"/>
      <c r="BE77" s="297"/>
      <c r="BF77" s="297"/>
      <c r="BG77" s="297"/>
      <c r="BH77" s="297"/>
      <c r="BI77" s="297"/>
      <c r="BJ77" s="297"/>
      <c r="BK77" s="297"/>
      <c r="BL77" s="297"/>
      <c r="BM77" s="297"/>
      <c r="BN77" s="297"/>
    </row>
    <row r="78" spans="1:66" s="26" customFormat="1" ht="23.25" customHeight="1">
      <c r="A78" s="262"/>
      <c r="B78" s="271"/>
      <c r="C78" s="271"/>
      <c r="D78" s="258"/>
      <c r="E78" s="258"/>
      <c r="F78" s="258"/>
      <c r="G78" s="258"/>
      <c r="H78" s="250"/>
      <c r="I78" s="256"/>
      <c r="J78" s="250"/>
      <c r="K78" s="250"/>
      <c r="L78" s="250"/>
      <c r="M78" s="272"/>
      <c r="N78" s="250"/>
      <c r="O78" s="250"/>
      <c r="P78" s="250"/>
      <c r="Q78" s="250"/>
      <c r="R78" s="250"/>
      <c r="S78" s="250"/>
      <c r="T78" s="250"/>
      <c r="U78" s="67" t="s">
        <v>421</v>
      </c>
      <c r="V78" s="109"/>
      <c r="W78" s="109"/>
      <c r="X78" s="39" t="s">
        <v>2</v>
      </c>
      <c r="Y78" s="35">
        <v>9</v>
      </c>
      <c r="Z78" s="62">
        <v>3750000</v>
      </c>
      <c r="AA78" s="84"/>
      <c r="AB78" s="68">
        <v>1</v>
      </c>
      <c r="AC78" s="35">
        <f>Y78*Z78*AB78</f>
        <v>33750000</v>
      </c>
      <c r="AD78" s="250"/>
      <c r="AE78" s="251"/>
      <c r="AF78" s="31"/>
      <c r="AG78" s="98"/>
      <c r="AH78" s="99"/>
      <c r="AI78" s="214"/>
      <c r="AJ78" s="214"/>
      <c r="AK78" s="297"/>
      <c r="AL78" s="297"/>
      <c r="AM78" s="297"/>
      <c r="AN78" s="297"/>
      <c r="AO78" s="297"/>
      <c r="AP78" s="297"/>
      <c r="AQ78" s="297"/>
      <c r="AR78" s="297"/>
      <c r="AS78" s="297"/>
      <c r="AT78" s="297"/>
      <c r="AU78" s="297"/>
      <c r="AV78" s="297"/>
      <c r="AW78" s="297"/>
      <c r="AX78" s="297"/>
      <c r="AY78" s="297"/>
      <c r="AZ78" s="297"/>
      <c r="BA78" s="297"/>
      <c r="BB78" s="297"/>
      <c r="BC78" s="297"/>
      <c r="BD78" s="297"/>
      <c r="BE78" s="297"/>
      <c r="BF78" s="297"/>
      <c r="BG78" s="297"/>
      <c r="BH78" s="297"/>
      <c r="BI78" s="297"/>
      <c r="BJ78" s="297"/>
      <c r="BK78" s="297"/>
      <c r="BL78" s="297"/>
      <c r="BM78" s="297"/>
      <c r="BN78" s="297"/>
    </row>
    <row r="79" spans="1:66" s="26" customFormat="1" ht="39" customHeight="1">
      <c r="A79" s="262"/>
      <c r="B79" s="271"/>
      <c r="C79" s="271"/>
      <c r="D79" s="258"/>
      <c r="E79" s="258"/>
      <c r="F79" s="258"/>
      <c r="G79" s="258"/>
      <c r="H79" s="250"/>
      <c r="I79" s="256"/>
      <c r="J79" s="250"/>
      <c r="K79" s="250"/>
      <c r="L79" s="250"/>
      <c r="M79" s="272"/>
      <c r="N79" s="250"/>
      <c r="O79" s="250"/>
      <c r="P79" s="250"/>
      <c r="Q79" s="250"/>
      <c r="R79" s="250"/>
      <c r="S79" s="250"/>
      <c r="T79" s="250"/>
      <c r="U79" s="65" t="s">
        <v>642</v>
      </c>
      <c r="V79" s="109"/>
      <c r="W79" s="109"/>
      <c r="X79" s="39" t="s">
        <v>2</v>
      </c>
      <c r="Y79" s="35">
        <v>27</v>
      </c>
      <c r="Z79" s="62"/>
      <c r="AA79" s="84"/>
      <c r="AB79" s="68"/>
      <c r="AC79" s="35"/>
      <c r="AD79" s="250"/>
      <c r="AE79" s="251"/>
      <c r="AF79" s="31"/>
      <c r="AG79" s="98"/>
      <c r="AH79" s="99"/>
      <c r="AI79" s="214"/>
      <c r="AJ79" s="214"/>
      <c r="AK79" s="297"/>
      <c r="AL79" s="297"/>
      <c r="AM79" s="297"/>
      <c r="AN79" s="297"/>
      <c r="AO79" s="297"/>
      <c r="AP79" s="297"/>
      <c r="AQ79" s="297"/>
      <c r="AR79" s="297"/>
      <c r="AS79" s="297"/>
      <c r="AT79" s="297"/>
      <c r="AU79" s="297"/>
      <c r="AV79" s="297"/>
      <c r="AW79" s="297"/>
      <c r="AX79" s="297"/>
      <c r="AY79" s="297"/>
      <c r="AZ79" s="297"/>
      <c r="BA79" s="297"/>
      <c r="BB79" s="297"/>
      <c r="BC79" s="297"/>
      <c r="BD79" s="297"/>
      <c r="BE79" s="297"/>
      <c r="BF79" s="297"/>
      <c r="BG79" s="297"/>
      <c r="BH79" s="297"/>
      <c r="BI79" s="297"/>
      <c r="BJ79" s="297"/>
      <c r="BK79" s="297"/>
      <c r="BL79" s="297"/>
      <c r="BM79" s="297"/>
      <c r="BN79" s="297"/>
    </row>
    <row r="80" spans="1:66" s="26" customFormat="1" ht="23.25" customHeight="1">
      <c r="A80" s="262"/>
      <c r="B80" s="271"/>
      <c r="C80" s="271"/>
      <c r="D80" s="258"/>
      <c r="E80" s="258"/>
      <c r="F80" s="258"/>
      <c r="G80" s="258"/>
      <c r="H80" s="250"/>
      <c r="I80" s="256"/>
      <c r="J80" s="250"/>
      <c r="K80" s="250"/>
      <c r="L80" s="250"/>
      <c r="M80" s="272"/>
      <c r="N80" s="250"/>
      <c r="O80" s="250"/>
      <c r="P80" s="250"/>
      <c r="Q80" s="250"/>
      <c r="R80" s="250"/>
      <c r="S80" s="250"/>
      <c r="T80" s="250"/>
      <c r="U80" s="67" t="s">
        <v>421</v>
      </c>
      <c r="V80" s="109"/>
      <c r="W80" s="109"/>
      <c r="X80" s="39" t="s">
        <v>2</v>
      </c>
      <c r="Y80" s="35">
        <v>27</v>
      </c>
      <c r="Z80" s="62">
        <v>2700000</v>
      </c>
      <c r="AA80" s="84"/>
      <c r="AB80" s="68">
        <v>1</v>
      </c>
      <c r="AC80" s="35">
        <f>Y80*Z80*AB80</f>
        <v>72900000</v>
      </c>
      <c r="AD80" s="250"/>
      <c r="AE80" s="251"/>
      <c r="AF80" s="31"/>
      <c r="AG80" s="98"/>
      <c r="AH80" s="99"/>
      <c r="AI80" s="214"/>
      <c r="AJ80" s="214"/>
      <c r="AK80" s="297"/>
      <c r="AL80" s="297"/>
      <c r="AM80" s="297"/>
      <c r="AN80" s="297"/>
      <c r="AO80" s="297"/>
      <c r="AP80" s="297"/>
      <c r="AQ80" s="297"/>
      <c r="AR80" s="297"/>
      <c r="AS80" s="297"/>
      <c r="AT80" s="297"/>
      <c r="AU80" s="297"/>
      <c r="AV80" s="297"/>
      <c r="AW80" s="297"/>
      <c r="AX80" s="297"/>
      <c r="AY80" s="297"/>
      <c r="AZ80" s="297"/>
      <c r="BA80" s="297"/>
      <c r="BB80" s="297"/>
      <c r="BC80" s="297"/>
      <c r="BD80" s="297"/>
      <c r="BE80" s="297"/>
      <c r="BF80" s="297"/>
      <c r="BG80" s="297"/>
      <c r="BH80" s="297"/>
      <c r="BI80" s="297"/>
      <c r="BJ80" s="297"/>
      <c r="BK80" s="297"/>
      <c r="BL80" s="297"/>
      <c r="BM80" s="297"/>
      <c r="BN80" s="297"/>
    </row>
    <row r="81" spans="1:66" s="26" customFormat="1" ht="36" customHeight="1">
      <c r="A81" s="262"/>
      <c r="B81" s="271"/>
      <c r="C81" s="271"/>
      <c r="D81" s="258"/>
      <c r="E81" s="258"/>
      <c r="F81" s="258"/>
      <c r="G81" s="258"/>
      <c r="H81" s="250"/>
      <c r="I81" s="256"/>
      <c r="J81" s="250"/>
      <c r="K81" s="250"/>
      <c r="L81" s="250"/>
      <c r="M81" s="272"/>
      <c r="N81" s="250"/>
      <c r="O81" s="250"/>
      <c r="P81" s="250"/>
      <c r="Q81" s="250"/>
      <c r="R81" s="250"/>
      <c r="S81" s="250"/>
      <c r="T81" s="250"/>
      <c r="U81" s="65" t="s">
        <v>480</v>
      </c>
      <c r="V81" s="109">
        <v>4</v>
      </c>
      <c r="W81" s="109">
        <f>H77/4</f>
        <v>450</v>
      </c>
      <c r="X81" s="39" t="s">
        <v>396</v>
      </c>
      <c r="Y81" s="35">
        <v>300</v>
      </c>
      <c r="Z81" s="62"/>
      <c r="AA81" s="84"/>
      <c r="AB81" s="68"/>
      <c r="AC81" s="35"/>
      <c r="AD81" s="250"/>
      <c r="AE81" s="251"/>
      <c r="AF81" s="31"/>
      <c r="AG81" s="98"/>
      <c r="AH81" s="99"/>
      <c r="AI81" s="214"/>
      <c r="AJ81" s="214"/>
      <c r="AK81" s="297"/>
      <c r="AL81" s="297"/>
      <c r="AM81" s="297"/>
      <c r="AN81" s="297"/>
      <c r="AO81" s="297"/>
      <c r="AP81" s="297"/>
      <c r="AQ81" s="297"/>
      <c r="AR81" s="297"/>
      <c r="AS81" s="297"/>
      <c r="AT81" s="297"/>
      <c r="AU81" s="297"/>
      <c r="AV81" s="297"/>
      <c r="AW81" s="297"/>
      <c r="AX81" s="297"/>
      <c r="AY81" s="297"/>
      <c r="AZ81" s="297"/>
      <c r="BA81" s="297"/>
      <c r="BB81" s="297"/>
      <c r="BC81" s="297"/>
      <c r="BD81" s="297"/>
      <c r="BE81" s="297"/>
      <c r="BF81" s="297"/>
      <c r="BG81" s="297"/>
      <c r="BH81" s="297"/>
      <c r="BI81" s="297"/>
      <c r="BJ81" s="297"/>
      <c r="BK81" s="297"/>
      <c r="BL81" s="297"/>
      <c r="BM81" s="297"/>
      <c r="BN81" s="297"/>
    </row>
    <row r="82" spans="1:66" s="26" customFormat="1" ht="25.5" customHeight="1">
      <c r="A82" s="262"/>
      <c r="B82" s="271"/>
      <c r="C82" s="271"/>
      <c r="D82" s="258"/>
      <c r="E82" s="258"/>
      <c r="F82" s="258"/>
      <c r="G82" s="258"/>
      <c r="H82" s="250"/>
      <c r="I82" s="256"/>
      <c r="J82" s="250"/>
      <c r="K82" s="250"/>
      <c r="L82" s="250"/>
      <c r="M82" s="272"/>
      <c r="N82" s="250"/>
      <c r="O82" s="250"/>
      <c r="P82" s="250"/>
      <c r="Q82" s="250"/>
      <c r="R82" s="250"/>
      <c r="S82" s="250"/>
      <c r="T82" s="250"/>
      <c r="U82" s="67" t="s">
        <v>421</v>
      </c>
      <c r="V82" s="109"/>
      <c r="W82" s="109"/>
      <c r="X82" s="39" t="s">
        <v>2</v>
      </c>
      <c r="Y82" s="35">
        <v>300</v>
      </c>
      <c r="Z82" s="62">
        <v>200000</v>
      </c>
      <c r="AA82" s="84"/>
      <c r="AB82" s="68">
        <v>0.5</v>
      </c>
      <c r="AC82" s="35">
        <f>Y82*Z82*AB82</f>
        <v>30000000</v>
      </c>
      <c r="AD82" s="250"/>
      <c r="AE82" s="251"/>
      <c r="AF82" s="31"/>
      <c r="AG82" s="98"/>
      <c r="AH82" s="99"/>
      <c r="AI82" s="214"/>
      <c r="AJ82" s="214"/>
      <c r="AK82" s="297"/>
      <c r="AL82" s="297"/>
      <c r="AM82" s="297"/>
      <c r="AN82" s="297"/>
      <c r="AO82" s="297"/>
      <c r="AP82" s="297"/>
      <c r="AQ82" s="297"/>
      <c r="AR82" s="297"/>
      <c r="AS82" s="297"/>
      <c r="AT82" s="297"/>
      <c r="AU82" s="297"/>
      <c r="AV82" s="297"/>
      <c r="AW82" s="297"/>
      <c r="AX82" s="297"/>
      <c r="AY82" s="297"/>
      <c r="AZ82" s="297"/>
      <c r="BA82" s="297"/>
      <c r="BB82" s="297"/>
      <c r="BC82" s="297"/>
      <c r="BD82" s="297"/>
      <c r="BE82" s="297"/>
      <c r="BF82" s="297"/>
      <c r="BG82" s="297"/>
      <c r="BH82" s="297"/>
      <c r="BI82" s="297"/>
      <c r="BJ82" s="297"/>
      <c r="BK82" s="297"/>
      <c r="BL82" s="297"/>
      <c r="BM82" s="297"/>
      <c r="BN82" s="297"/>
    </row>
    <row r="83" spans="1:66" s="26" customFormat="1" ht="36.75" customHeight="1">
      <c r="A83" s="262"/>
      <c r="B83" s="271"/>
      <c r="C83" s="271"/>
      <c r="D83" s="258"/>
      <c r="E83" s="258"/>
      <c r="F83" s="258"/>
      <c r="G83" s="258"/>
      <c r="H83" s="250"/>
      <c r="I83" s="256"/>
      <c r="J83" s="250"/>
      <c r="K83" s="250"/>
      <c r="L83" s="250"/>
      <c r="M83" s="272"/>
      <c r="N83" s="250"/>
      <c r="O83" s="250"/>
      <c r="P83" s="250"/>
      <c r="Q83" s="250"/>
      <c r="R83" s="250"/>
      <c r="S83" s="250"/>
      <c r="T83" s="250"/>
      <c r="U83" s="65" t="s">
        <v>481</v>
      </c>
      <c r="V83" s="109"/>
      <c r="W83" s="109"/>
      <c r="X83" s="39" t="s">
        <v>396</v>
      </c>
      <c r="Y83" s="35">
        <v>80</v>
      </c>
      <c r="Z83" s="62"/>
      <c r="AA83" s="84"/>
      <c r="AB83" s="68"/>
      <c r="AC83" s="35"/>
      <c r="AD83" s="250"/>
      <c r="AE83" s="251"/>
      <c r="AF83" s="31"/>
      <c r="AG83" s="98"/>
      <c r="AH83" s="99"/>
      <c r="AI83" s="214"/>
      <c r="AJ83" s="214"/>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row>
    <row r="84" spans="1:66" s="26" customFormat="1" ht="23.25" customHeight="1">
      <c r="A84" s="262"/>
      <c r="B84" s="271"/>
      <c r="C84" s="271"/>
      <c r="D84" s="258"/>
      <c r="E84" s="258"/>
      <c r="F84" s="258"/>
      <c r="G84" s="258"/>
      <c r="H84" s="250"/>
      <c r="I84" s="256"/>
      <c r="J84" s="250"/>
      <c r="K84" s="250"/>
      <c r="L84" s="250"/>
      <c r="M84" s="272"/>
      <c r="N84" s="250"/>
      <c r="O84" s="250"/>
      <c r="P84" s="250"/>
      <c r="Q84" s="250"/>
      <c r="R84" s="250"/>
      <c r="S84" s="250"/>
      <c r="T84" s="250"/>
      <c r="U84" s="67" t="s">
        <v>421</v>
      </c>
      <c r="V84" s="109"/>
      <c r="W84" s="109"/>
      <c r="X84" s="39" t="s">
        <v>2</v>
      </c>
      <c r="Y84" s="35">
        <v>80</v>
      </c>
      <c r="Z84" s="62">
        <v>150000</v>
      </c>
      <c r="AA84" s="84"/>
      <c r="AB84" s="68">
        <v>0.5</v>
      </c>
      <c r="AC84" s="35">
        <f>Y84*Z84*AB84</f>
        <v>6000000</v>
      </c>
      <c r="AD84" s="250"/>
      <c r="AE84" s="251"/>
      <c r="AF84" s="31"/>
      <c r="AG84" s="98"/>
      <c r="AH84" s="99"/>
      <c r="AI84" s="214"/>
      <c r="AJ84" s="214"/>
      <c r="AK84" s="297"/>
      <c r="AL84" s="297"/>
      <c r="AM84" s="297"/>
      <c r="AN84" s="297"/>
      <c r="AO84" s="297"/>
      <c r="AP84" s="297"/>
      <c r="AQ84" s="297"/>
      <c r="AR84" s="297"/>
      <c r="AS84" s="297"/>
      <c r="AT84" s="297"/>
      <c r="AU84" s="297"/>
      <c r="AV84" s="297"/>
      <c r="AW84" s="297"/>
      <c r="AX84" s="297"/>
      <c r="AY84" s="297"/>
      <c r="AZ84" s="297"/>
      <c r="BA84" s="297"/>
      <c r="BB84" s="297"/>
      <c r="BC84" s="297"/>
      <c r="BD84" s="297"/>
      <c r="BE84" s="297"/>
      <c r="BF84" s="297"/>
      <c r="BG84" s="297"/>
      <c r="BH84" s="297"/>
      <c r="BI84" s="297"/>
      <c r="BJ84" s="297"/>
      <c r="BK84" s="297"/>
      <c r="BL84" s="297"/>
      <c r="BM84" s="297"/>
      <c r="BN84" s="297"/>
    </row>
    <row r="85" spans="1:66" s="26" customFormat="1" ht="57.75" customHeight="1">
      <c r="A85" s="262"/>
      <c r="B85" s="271"/>
      <c r="C85" s="271"/>
      <c r="D85" s="258"/>
      <c r="E85" s="258"/>
      <c r="F85" s="258"/>
      <c r="G85" s="258"/>
      <c r="H85" s="250"/>
      <c r="I85" s="256"/>
      <c r="J85" s="250"/>
      <c r="K85" s="250"/>
      <c r="L85" s="250"/>
      <c r="M85" s="272"/>
      <c r="N85" s="250"/>
      <c r="O85" s="250"/>
      <c r="P85" s="250"/>
      <c r="Q85" s="250"/>
      <c r="R85" s="250"/>
      <c r="S85" s="250"/>
      <c r="T85" s="250"/>
      <c r="U85" s="69" t="s">
        <v>470</v>
      </c>
      <c r="V85" s="109"/>
      <c r="W85" s="109"/>
      <c r="X85" s="39" t="s">
        <v>0</v>
      </c>
      <c r="Y85" s="61">
        <v>6</v>
      </c>
      <c r="Z85" s="100"/>
      <c r="AA85" s="84"/>
      <c r="AB85" s="39"/>
      <c r="AC85" s="35"/>
      <c r="AD85" s="250"/>
      <c r="AE85" s="251"/>
      <c r="AF85" s="31"/>
      <c r="AG85" s="98"/>
      <c r="AH85" s="99"/>
      <c r="AI85" s="214"/>
      <c r="AJ85" s="214"/>
      <c r="AK85" s="297"/>
      <c r="AL85" s="297"/>
      <c r="AM85" s="297"/>
      <c r="AN85" s="297"/>
      <c r="AO85" s="297"/>
      <c r="AP85" s="297"/>
      <c r="AQ85" s="297"/>
      <c r="AR85" s="297"/>
      <c r="AS85" s="297"/>
      <c r="AT85" s="297"/>
      <c r="AU85" s="297"/>
      <c r="AV85" s="297"/>
      <c r="AW85" s="297"/>
      <c r="AX85" s="297"/>
      <c r="AY85" s="297"/>
      <c r="AZ85" s="297"/>
      <c r="BA85" s="297"/>
      <c r="BB85" s="297"/>
      <c r="BC85" s="297"/>
      <c r="BD85" s="297"/>
      <c r="BE85" s="297"/>
      <c r="BF85" s="297"/>
      <c r="BG85" s="297"/>
      <c r="BH85" s="297"/>
      <c r="BI85" s="297"/>
      <c r="BJ85" s="297"/>
      <c r="BK85" s="297"/>
      <c r="BL85" s="297"/>
      <c r="BM85" s="297"/>
      <c r="BN85" s="297"/>
    </row>
    <row r="86" spans="1:66" s="19" customFormat="1" ht="38.25" customHeight="1">
      <c r="A86" s="262">
        <v>13</v>
      </c>
      <c r="B86" s="271" t="s">
        <v>403</v>
      </c>
      <c r="C86" s="258" t="s">
        <v>39</v>
      </c>
      <c r="D86" s="258">
        <v>64</v>
      </c>
      <c r="E86" s="258">
        <v>489</v>
      </c>
      <c r="F86" s="258">
        <v>1528.1</v>
      </c>
      <c r="G86" s="258" t="s">
        <v>28</v>
      </c>
      <c r="H86" s="250">
        <v>1528</v>
      </c>
      <c r="I86" s="256">
        <f>F86-H86</f>
        <v>9.9999999999909051E-2</v>
      </c>
      <c r="J86" s="250">
        <f>H86+H97</f>
        <v>1888</v>
      </c>
      <c r="K86" s="250">
        <v>2160</v>
      </c>
      <c r="L86" s="250"/>
      <c r="M86" s="256">
        <f>J86/K86*100</f>
        <v>87.407407407407405</v>
      </c>
      <c r="N86" s="250">
        <v>12</v>
      </c>
      <c r="O86" s="250">
        <v>10</v>
      </c>
      <c r="P86" s="250">
        <v>80000</v>
      </c>
      <c r="Q86" s="250">
        <f>P86*J86</f>
        <v>151040000</v>
      </c>
      <c r="R86" s="250">
        <f>Q86*3</f>
        <v>453120000</v>
      </c>
      <c r="S86" s="250">
        <f>N86*O86*17000*30</f>
        <v>61200000</v>
      </c>
      <c r="T86" s="250">
        <f>SUM(Q86:S107)</f>
        <v>665360000</v>
      </c>
      <c r="U86" s="65" t="s">
        <v>420</v>
      </c>
      <c r="V86" s="109">
        <v>20</v>
      </c>
      <c r="W86" s="109">
        <f>H86/V86</f>
        <v>76.400000000000006</v>
      </c>
      <c r="X86" s="39" t="s">
        <v>2</v>
      </c>
      <c r="Y86" s="35">
        <v>20</v>
      </c>
      <c r="Z86" s="62"/>
      <c r="AA86" s="79"/>
      <c r="AB86" s="80"/>
      <c r="AC86" s="35"/>
      <c r="AD86" s="250">
        <f>SUM(AC86:AC96)</f>
        <v>163500000</v>
      </c>
      <c r="AE86" s="251">
        <f>T86+AD86+AD97</f>
        <v>876860000</v>
      </c>
      <c r="AF86" s="31" t="s">
        <v>428</v>
      </c>
      <c r="AG86" s="81"/>
      <c r="AH86" s="81"/>
      <c r="AI86" s="153"/>
      <c r="AJ86" s="153"/>
      <c r="AK86" s="153"/>
      <c r="AL86" s="153"/>
      <c r="AM86" s="153"/>
      <c r="AN86" s="153"/>
      <c r="AO86" s="153"/>
      <c r="AP86" s="153"/>
      <c r="AQ86" s="153"/>
      <c r="AR86" s="153"/>
      <c r="AS86" s="153"/>
      <c r="AT86" s="153"/>
      <c r="AU86" s="153"/>
      <c r="AV86" s="153"/>
      <c r="AW86" s="153"/>
      <c r="AX86" s="153"/>
      <c r="AY86" s="153"/>
      <c r="AZ86" s="153"/>
      <c r="BA86" s="153"/>
      <c r="BB86" s="153"/>
      <c r="BC86" s="153"/>
      <c r="BD86" s="153"/>
      <c r="BE86" s="153"/>
      <c r="BF86" s="153"/>
      <c r="BG86" s="153"/>
      <c r="BH86" s="153"/>
      <c r="BI86" s="153"/>
      <c r="BJ86" s="153"/>
      <c r="BK86" s="153"/>
      <c r="BL86" s="153"/>
      <c r="BM86" s="153"/>
      <c r="BN86" s="153"/>
    </row>
    <row r="87" spans="1:66" s="19" customFormat="1" ht="22.5" customHeight="1">
      <c r="A87" s="262"/>
      <c r="B87" s="271"/>
      <c r="C87" s="258"/>
      <c r="D87" s="258"/>
      <c r="E87" s="258"/>
      <c r="F87" s="258"/>
      <c r="G87" s="258"/>
      <c r="H87" s="250"/>
      <c r="I87" s="256"/>
      <c r="J87" s="250"/>
      <c r="K87" s="250"/>
      <c r="L87" s="250"/>
      <c r="M87" s="256"/>
      <c r="N87" s="250"/>
      <c r="O87" s="250"/>
      <c r="P87" s="250"/>
      <c r="Q87" s="250"/>
      <c r="R87" s="250"/>
      <c r="S87" s="250"/>
      <c r="T87" s="250"/>
      <c r="U87" s="67" t="s">
        <v>421</v>
      </c>
      <c r="V87" s="109"/>
      <c r="W87" s="109"/>
      <c r="X87" s="39" t="s">
        <v>2</v>
      </c>
      <c r="Y87" s="35">
        <v>20</v>
      </c>
      <c r="Z87" s="62">
        <v>2500000</v>
      </c>
      <c r="AA87" s="79"/>
      <c r="AB87" s="80">
        <v>1</v>
      </c>
      <c r="AC87" s="35">
        <f t="shared" ref="AC87:AC89" si="12">Y87*Z87*AB87</f>
        <v>50000000</v>
      </c>
      <c r="AD87" s="250"/>
      <c r="AE87" s="251"/>
      <c r="AF87" s="31"/>
      <c r="AG87" s="81"/>
      <c r="AH87" s="81"/>
      <c r="AI87" s="153"/>
      <c r="AJ87" s="153"/>
      <c r="AK87" s="153"/>
      <c r="AL87" s="153"/>
      <c r="AM87" s="153"/>
      <c r="AN87" s="153"/>
      <c r="AO87" s="153"/>
      <c r="AP87" s="153"/>
      <c r="AQ87" s="153"/>
      <c r="AR87" s="153"/>
      <c r="AS87" s="153"/>
      <c r="AT87" s="153"/>
      <c r="AU87" s="153"/>
      <c r="AV87" s="153"/>
      <c r="AW87" s="153"/>
      <c r="AX87" s="153"/>
      <c r="AY87" s="153"/>
      <c r="AZ87" s="153"/>
      <c r="BA87" s="153"/>
      <c r="BB87" s="153"/>
      <c r="BC87" s="153"/>
      <c r="BD87" s="153"/>
      <c r="BE87" s="153"/>
      <c r="BF87" s="153"/>
      <c r="BG87" s="153"/>
      <c r="BH87" s="153"/>
      <c r="BI87" s="153"/>
      <c r="BJ87" s="153"/>
      <c r="BK87" s="153"/>
      <c r="BL87" s="153"/>
      <c r="BM87" s="153"/>
      <c r="BN87" s="153"/>
    </row>
    <row r="88" spans="1:66" s="19" customFormat="1" ht="37.5" customHeight="1">
      <c r="A88" s="262"/>
      <c r="B88" s="271"/>
      <c r="C88" s="258"/>
      <c r="D88" s="258"/>
      <c r="E88" s="258"/>
      <c r="F88" s="258"/>
      <c r="G88" s="258"/>
      <c r="H88" s="250"/>
      <c r="I88" s="256"/>
      <c r="J88" s="250"/>
      <c r="K88" s="250"/>
      <c r="L88" s="250"/>
      <c r="M88" s="256"/>
      <c r="N88" s="250"/>
      <c r="O88" s="250"/>
      <c r="P88" s="250"/>
      <c r="Q88" s="250"/>
      <c r="R88" s="250"/>
      <c r="S88" s="250"/>
      <c r="T88" s="250"/>
      <c r="U88" s="65" t="s">
        <v>645</v>
      </c>
      <c r="V88" s="109"/>
      <c r="W88" s="109"/>
      <c r="X88" s="39" t="s">
        <v>2</v>
      </c>
      <c r="Y88" s="35">
        <v>55</v>
      </c>
      <c r="Z88" s="62"/>
      <c r="AA88" s="79"/>
      <c r="AB88" s="80"/>
      <c r="AC88" s="35"/>
      <c r="AD88" s="250"/>
      <c r="AE88" s="251"/>
      <c r="AF88" s="31"/>
      <c r="AG88" s="81"/>
      <c r="AH88" s="81"/>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row>
    <row r="89" spans="1:66" s="19" customFormat="1" ht="22.5" customHeight="1">
      <c r="A89" s="262"/>
      <c r="B89" s="271"/>
      <c r="C89" s="258"/>
      <c r="D89" s="258"/>
      <c r="E89" s="258"/>
      <c r="F89" s="258"/>
      <c r="G89" s="258"/>
      <c r="H89" s="250"/>
      <c r="I89" s="256"/>
      <c r="J89" s="250"/>
      <c r="K89" s="250"/>
      <c r="L89" s="250"/>
      <c r="M89" s="256"/>
      <c r="N89" s="250"/>
      <c r="O89" s="250"/>
      <c r="P89" s="250"/>
      <c r="Q89" s="250"/>
      <c r="R89" s="250"/>
      <c r="S89" s="250"/>
      <c r="T89" s="250"/>
      <c r="U89" s="67" t="s">
        <v>421</v>
      </c>
      <c r="V89" s="109"/>
      <c r="W89" s="109"/>
      <c r="X89" s="39" t="s">
        <v>2</v>
      </c>
      <c r="Y89" s="35">
        <v>55</v>
      </c>
      <c r="Z89" s="62">
        <v>1800000</v>
      </c>
      <c r="AA89" s="79"/>
      <c r="AB89" s="80">
        <v>1</v>
      </c>
      <c r="AC89" s="35">
        <f t="shared" si="12"/>
        <v>99000000</v>
      </c>
      <c r="AD89" s="250"/>
      <c r="AE89" s="251"/>
      <c r="AF89" s="31"/>
      <c r="AG89" s="81"/>
      <c r="AH89" s="81"/>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row>
    <row r="90" spans="1:66" s="19" customFormat="1" ht="39.75" customHeight="1">
      <c r="A90" s="262"/>
      <c r="B90" s="271"/>
      <c r="C90" s="258"/>
      <c r="D90" s="258"/>
      <c r="E90" s="258"/>
      <c r="F90" s="258"/>
      <c r="G90" s="258"/>
      <c r="H90" s="250"/>
      <c r="I90" s="256"/>
      <c r="J90" s="250"/>
      <c r="K90" s="250"/>
      <c r="L90" s="250"/>
      <c r="M90" s="256"/>
      <c r="N90" s="250"/>
      <c r="O90" s="250"/>
      <c r="P90" s="250"/>
      <c r="Q90" s="250"/>
      <c r="R90" s="250"/>
      <c r="S90" s="250"/>
      <c r="T90" s="250"/>
      <c r="U90" s="65" t="s">
        <v>522</v>
      </c>
      <c r="V90" s="109">
        <v>25</v>
      </c>
      <c r="W90" s="109">
        <f>H86/V90</f>
        <v>61.12</v>
      </c>
      <c r="X90" s="39" t="s">
        <v>2</v>
      </c>
      <c r="Y90" s="35">
        <v>20</v>
      </c>
      <c r="Z90" s="62"/>
      <c r="AA90" s="84"/>
      <c r="AB90" s="68"/>
      <c r="AC90" s="35"/>
      <c r="AD90" s="250"/>
      <c r="AE90" s="251"/>
      <c r="AF90" s="31"/>
      <c r="AG90" s="81"/>
      <c r="AH90" s="81"/>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row>
    <row r="91" spans="1:66" s="19" customFormat="1" ht="22.5" customHeight="1">
      <c r="A91" s="262"/>
      <c r="B91" s="271"/>
      <c r="C91" s="258"/>
      <c r="D91" s="258"/>
      <c r="E91" s="258"/>
      <c r="F91" s="258"/>
      <c r="G91" s="258"/>
      <c r="H91" s="250"/>
      <c r="I91" s="256"/>
      <c r="J91" s="250"/>
      <c r="K91" s="250"/>
      <c r="L91" s="250"/>
      <c r="M91" s="256"/>
      <c r="N91" s="250"/>
      <c r="O91" s="250"/>
      <c r="P91" s="250"/>
      <c r="Q91" s="250"/>
      <c r="R91" s="250"/>
      <c r="S91" s="250"/>
      <c r="T91" s="250"/>
      <c r="U91" s="67" t="s">
        <v>421</v>
      </c>
      <c r="V91" s="109"/>
      <c r="W91" s="109"/>
      <c r="X91" s="39" t="s">
        <v>2</v>
      </c>
      <c r="Y91" s="35">
        <v>20</v>
      </c>
      <c r="Z91" s="62">
        <v>1000000</v>
      </c>
      <c r="AA91" s="79"/>
      <c r="AB91" s="80">
        <v>0.5</v>
      </c>
      <c r="AC91" s="35">
        <f t="shared" ref="AC91" si="13">Y91*Z91*AB91</f>
        <v>10000000</v>
      </c>
      <c r="AD91" s="250"/>
      <c r="AE91" s="251"/>
      <c r="AF91" s="31"/>
      <c r="AG91" s="81"/>
      <c r="AH91" s="81"/>
      <c r="AI91" s="153"/>
      <c r="AJ91" s="153"/>
      <c r="AK91" s="153"/>
      <c r="AL91" s="153"/>
      <c r="AM91" s="153"/>
      <c r="AN91" s="153"/>
      <c r="AO91" s="153"/>
      <c r="AP91" s="153"/>
      <c r="AQ91" s="153"/>
      <c r="AR91" s="153"/>
      <c r="AS91" s="153"/>
      <c r="AT91" s="153"/>
      <c r="AU91" s="153"/>
      <c r="AV91" s="153"/>
      <c r="AW91" s="153"/>
      <c r="AX91" s="153"/>
      <c r="AY91" s="153"/>
      <c r="AZ91" s="153"/>
      <c r="BA91" s="153"/>
      <c r="BB91" s="153"/>
      <c r="BC91" s="153"/>
      <c r="BD91" s="153"/>
      <c r="BE91" s="153"/>
      <c r="BF91" s="153"/>
      <c r="BG91" s="153"/>
      <c r="BH91" s="153"/>
      <c r="BI91" s="153"/>
      <c r="BJ91" s="153"/>
      <c r="BK91" s="153"/>
      <c r="BL91" s="153"/>
      <c r="BM91" s="153"/>
      <c r="BN91" s="153"/>
    </row>
    <row r="92" spans="1:66" s="19" customFormat="1" ht="34.5" customHeight="1">
      <c r="A92" s="262"/>
      <c r="B92" s="271"/>
      <c r="C92" s="258"/>
      <c r="D92" s="258"/>
      <c r="E92" s="258"/>
      <c r="F92" s="258"/>
      <c r="G92" s="258"/>
      <c r="H92" s="250"/>
      <c r="I92" s="256"/>
      <c r="J92" s="250"/>
      <c r="K92" s="250"/>
      <c r="L92" s="250"/>
      <c r="M92" s="256"/>
      <c r="N92" s="250"/>
      <c r="O92" s="250"/>
      <c r="P92" s="250"/>
      <c r="Q92" s="250"/>
      <c r="R92" s="250"/>
      <c r="S92" s="250"/>
      <c r="T92" s="250"/>
      <c r="U92" s="65" t="s">
        <v>523</v>
      </c>
      <c r="V92" s="109">
        <v>4</v>
      </c>
      <c r="W92" s="109">
        <f>H86/V92</f>
        <v>382</v>
      </c>
      <c r="X92" s="39" t="s">
        <v>396</v>
      </c>
      <c r="Y92" s="35">
        <v>30</v>
      </c>
      <c r="Z92" s="62"/>
      <c r="AA92" s="84"/>
      <c r="AB92" s="68"/>
      <c r="AC92" s="35"/>
      <c r="AD92" s="250"/>
      <c r="AE92" s="251"/>
      <c r="AF92" s="31"/>
      <c r="AG92" s="81"/>
      <c r="AH92" s="81"/>
      <c r="AI92" s="153"/>
      <c r="AJ92" s="153"/>
      <c r="AK92" s="153"/>
      <c r="AL92" s="153"/>
      <c r="AM92" s="153"/>
      <c r="AN92" s="153"/>
      <c r="AO92" s="153"/>
      <c r="AP92" s="153"/>
      <c r="AQ92" s="153"/>
      <c r="AR92" s="153"/>
      <c r="AS92" s="153"/>
      <c r="AT92" s="153"/>
      <c r="AU92" s="153"/>
      <c r="AV92" s="153"/>
      <c r="AW92" s="153"/>
      <c r="AX92" s="153"/>
      <c r="AY92" s="153"/>
      <c r="AZ92" s="153"/>
      <c r="BA92" s="153"/>
      <c r="BB92" s="153"/>
      <c r="BC92" s="153"/>
      <c r="BD92" s="153"/>
      <c r="BE92" s="153"/>
      <c r="BF92" s="153"/>
      <c r="BG92" s="153"/>
      <c r="BH92" s="153"/>
      <c r="BI92" s="153"/>
      <c r="BJ92" s="153"/>
      <c r="BK92" s="153"/>
      <c r="BL92" s="153"/>
      <c r="BM92" s="153"/>
      <c r="BN92" s="153"/>
    </row>
    <row r="93" spans="1:66" s="19" customFormat="1" ht="22.5" customHeight="1">
      <c r="A93" s="262"/>
      <c r="B93" s="271"/>
      <c r="C93" s="258"/>
      <c r="D93" s="258"/>
      <c r="E93" s="258"/>
      <c r="F93" s="258"/>
      <c r="G93" s="258"/>
      <c r="H93" s="250"/>
      <c r="I93" s="256"/>
      <c r="J93" s="250"/>
      <c r="K93" s="250"/>
      <c r="L93" s="250"/>
      <c r="M93" s="256"/>
      <c r="N93" s="250"/>
      <c r="O93" s="250"/>
      <c r="P93" s="250"/>
      <c r="Q93" s="250"/>
      <c r="R93" s="250"/>
      <c r="S93" s="250"/>
      <c r="T93" s="250"/>
      <c r="U93" s="67" t="s">
        <v>421</v>
      </c>
      <c r="V93" s="109"/>
      <c r="W93" s="109"/>
      <c r="X93" s="39" t="s">
        <v>396</v>
      </c>
      <c r="Y93" s="35">
        <v>30</v>
      </c>
      <c r="Z93" s="62">
        <v>200000</v>
      </c>
      <c r="AA93" s="84"/>
      <c r="AB93" s="68">
        <v>0.5</v>
      </c>
      <c r="AC93" s="35">
        <f>Y93*Z93*AB93</f>
        <v>3000000</v>
      </c>
      <c r="AD93" s="250"/>
      <c r="AE93" s="251"/>
      <c r="AF93" s="31"/>
      <c r="AG93" s="81"/>
      <c r="AH93" s="81"/>
      <c r="AI93" s="153"/>
      <c r="AJ93" s="153"/>
      <c r="AK93" s="153"/>
      <c r="AL93" s="153"/>
      <c r="AM93" s="153"/>
      <c r="AN93" s="153"/>
      <c r="AO93" s="153"/>
      <c r="AP93" s="153"/>
      <c r="AQ93" s="153"/>
      <c r="AR93" s="153"/>
      <c r="AS93" s="153"/>
      <c r="AT93" s="153"/>
      <c r="AU93" s="153"/>
      <c r="AV93" s="153"/>
      <c r="AW93" s="153"/>
      <c r="AX93" s="153"/>
      <c r="AY93" s="153"/>
      <c r="AZ93" s="153"/>
      <c r="BA93" s="153"/>
      <c r="BB93" s="153"/>
      <c r="BC93" s="153"/>
      <c r="BD93" s="153"/>
      <c r="BE93" s="153"/>
      <c r="BF93" s="153"/>
      <c r="BG93" s="153"/>
      <c r="BH93" s="153"/>
      <c r="BI93" s="153"/>
      <c r="BJ93" s="153"/>
      <c r="BK93" s="153"/>
      <c r="BL93" s="153"/>
      <c r="BM93" s="153"/>
      <c r="BN93" s="153"/>
    </row>
    <row r="94" spans="1:66" s="19" customFormat="1" ht="30.75" customHeight="1">
      <c r="A94" s="262"/>
      <c r="B94" s="271"/>
      <c r="C94" s="258"/>
      <c r="D94" s="258"/>
      <c r="E94" s="258"/>
      <c r="F94" s="258"/>
      <c r="G94" s="258"/>
      <c r="H94" s="250"/>
      <c r="I94" s="256"/>
      <c r="J94" s="250"/>
      <c r="K94" s="250"/>
      <c r="L94" s="250"/>
      <c r="M94" s="256"/>
      <c r="N94" s="250"/>
      <c r="O94" s="250"/>
      <c r="P94" s="250"/>
      <c r="Q94" s="250"/>
      <c r="R94" s="250"/>
      <c r="S94" s="250"/>
      <c r="T94" s="250"/>
      <c r="U94" s="65" t="s">
        <v>524</v>
      </c>
      <c r="V94" s="109"/>
      <c r="W94" s="109"/>
      <c r="X94" s="39" t="s">
        <v>396</v>
      </c>
      <c r="Y94" s="35">
        <v>20</v>
      </c>
      <c r="Z94" s="62"/>
      <c r="AA94" s="84"/>
      <c r="AB94" s="68"/>
      <c r="AC94" s="35"/>
      <c r="AD94" s="250"/>
      <c r="AE94" s="251"/>
      <c r="AF94" s="31"/>
      <c r="AG94" s="81"/>
      <c r="AH94" s="81"/>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c r="BE94" s="153"/>
      <c r="BF94" s="153"/>
      <c r="BG94" s="153"/>
      <c r="BH94" s="153"/>
      <c r="BI94" s="153"/>
      <c r="BJ94" s="153"/>
      <c r="BK94" s="153"/>
      <c r="BL94" s="153"/>
      <c r="BM94" s="153"/>
      <c r="BN94" s="153"/>
    </row>
    <row r="95" spans="1:66" s="19" customFormat="1" ht="22.5" customHeight="1">
      <c r="A95" s="262"/>
      <c r="B95" s="271"/>
      <c r="C95" s="258"/>
      <c r="D95" s="258"/>
      <c r="E95" s="258"/>
      <c r="F95" s="258"/>
      <c r="G95" s="258"/>
      <c r="H95" s="250"/>
      <c r="I95" s="256"/>
      <c r="J95" s="250"/>
      <c r="K95" s="250"/>
      <c r="L95" s="250"/>
      <c r="M95" s="256"/>
      <c r="N95" s="250"/>
      <c r="O95" s="250"/>
      <c r="P95" s="250"/>
      <c r="Q95" s="250"/>
      <c r="R95" s="250"/>
      <c r="S95" s="250"/>
      <c r="T95" s="250"/>
      <c r="U95" s="67" t="s">
        <v>421</v>
      </c>
      <c r="V95" s="109"/>
      <c r="W95" s="109"/>
      <c r="X95" s="39" t="s">
        <v>396</v>
      </c>
      <c r="Y95" s="35">
        <v>20</v>
      </c>
      <c r="Z95" s="62">
        <v>150000</v>
      </c>
      <c r="AA95" s="84"/>
      <c r="AB95" s="68">
        <v>0.5</v>
      </c>
      <c r="AC95" s="35">
        <f>Y95*Z95*AB95</f>
        <v>1500000</v>
      </c>
      <c r="AD95" s="250"/>
      <c r="AE95" s="251"/>
      <c r="AF95" s="31"/>
      <c r="AG95" s="81"/>
      <c r="AH95" s="81"/>
      <c r="AI95" s="153"/>
      <c r="AJ95" s="153"/>
      <c r="AK95" s="153"/>
      <c r="AL95" s="153"/>
      <c r="AM95" s="153"/>
      <c r="AN95" s="153"/>
      <c r="AO95" s="153"/>
      <c r="AP95" s="153"/>
      <c r="AQ95" s="153"/>
      <c r="AR95" s="153"/>
      <c r="AS95" s="153"/>
      <c r="AT95" s="153"/>
      <c r="AU95" s="153"/>
      <c r="AV95" s="153"/>
      <c r="AW95" s="153"/>
      <c r="AX95" s="153"/>
      <c r="AY95" s="153"/>
      <c r="AZ95" s="153"/>
      <c r="BA95" s="153"/>
      <c r="BB95" s="153"/>
      <c r="BC95" s="153"/>
      <c r="BD95" s="153"/>
      <c r="BE95" s="153"/>
      <c r="BF95" s="153"/>
      <c r="BG95" s="153"/>
      <c r="BH95" s="153"/>
      <c r="BI95" s="153"/>
      <c r="BJ95" s="153"/>
      <c r="BK95" s="153"/>
      <c r="BL95" s="153"/>
      <c r="BM95" s="153"/>
      <c r="BN95" s="153"/>
    </row>
    <row r="96" spans="1:66" s="19" customFormat="1" ht="22.5" customHeight="1">
      <c r="A96" s="262"/>
      <c r="B96" s="271"/>
      <c r="C96" s="258"/>
      <c r="D96" s="258"/>
      <c r="E96" s="258"/>
      <c r="F96" s="258"/>
      <c r="G96" s="258"/>
      <c r="H96" s="250"/>
      <c r="I96" s="256"/>
      <c r="J96" s="250"/>
      <c r="K96" s="250"/>
      <c r="L96" s="250"/>
      <c r="M96" s="256"/>
      <c r="N96" s="250"/>
      <c r="O96" s="250"/>
      <c r="P96" s="250"/>
      <c r="Q96" s="250"/>
      <c r="R96" s="250"/>
      <c r="S96" s="250"/>
      <c r="T96" s="250"/>
      <c r="U96" s="49" t="s">
        <v>525</v>
      </c>
      <c r="V96" s="109"/>
      <c r="W96" s="109"/>
      <c r="X96" s="39" t="s">
        <v>399</v>
      </c>
      <c r="Y96" s="61">
        <v>2</v>
      </c>
      <c r="Z96" s="62"/>
      <c r="AA96" s="79"/>
      <c r="AB96" s="80"/>
      <c r="AC96" s="35"/>
      <c r="AD96" s="250"/>
      <c r="AE96" s="251"/>
      <c r="AF96" s="31"/>
      <c r="AG96" s="81"/>
      <c r="AH96" s="81"/>
      <c r="AI96" s="153"/>
      <c r="AJ96" s="153"/>
      <c r="AK96" s="153"/>
      <c r="AL96" s="153"/>
      <c r="AM96" s="153"/>
      <c r="AN96" s="153"/>
      <c r="AO96" s="153"/>
      <c r="AP96" s="153"/>
      <c r="AQ96" s="153"/>
      <c r="AR96" s="153"/>
      <c r="AS96" s="153"/>
      <c r="AT96" s="153"/>
      <c r="AU96" s="153"/>
      <c r="AV96" s="153"/>
      <c r="AW96" s="153"/>
      <c r="AX96" s="153"/>
      <c r="AY96" s="153"/>
      <c r="AZ96" s="153"/>
      <c r="BA96" s="153"/>
      <c r="BB96" s="153"/>
      <c r="BC96" s="153"/>
      <c r="BD96" s="153"/>
      <c r="BE96" s="153"/>
      <c r="BF96" s="153"/>
      <c r="BG96" s="153"/>
      <c r="BH96" s="153"/>
      <c r="BI96" s="153"/>
      <c r="BJ96" s="153"/>
      <c r="BK96" s="153"/>
      <c r="BL96" s="153"/>
      <c r="BM96" s="153"/>
      <c r="BN96" s="153"/>
    </row>
    <row r="97" spans="1:66" s="19" customFormat="1" ht="35.25" customHeight="1">
      <c r="A97" s="262"/>
      <c r="B97" s="271"/>
      <c r="C97" s="262"/>
      <c r="D97" s="262">
        <v>64</v>
      </c>
      <c r="E97" s="262">
        <v>602</v>
      </c>
      <c r="F97" s="262">
        <v>355</v>
      </c>
      <c r="G97" s="262" t="s">
        <v>28</v>
      </c>
      <c r="H97" s="264">
        <v>360</v>
      </c>
      <c r="I97" s="273">
        <f>F97-H97</f>
        <v>-5</v>
      </c>
      <c r="J97" s="250"/>
      <c r="K97" s="250"/>
      <c r="L97" s="250"/>
      <c r="M97" s="256"/>
      <c r="N97" s="250"/>
      <c r="O97" s="250"/>
      <c r="P97" s="250"/>
      <c r="Q97" s="250"/>
      <c r="R97" s="250"/>
      <c r="S97" s="250"/>
      <c r="T97" s="250"/>
      <c r="U97" s="65" t="s">
        <v>420</v>
      </c>
      <c r="V97" s="109">
        <v>20</v>
      </c>
      <c r="W97" s="109">
        <f>H97/V97</f>
        <v>18</v>
      </c>
      <c r="X97" s="39" t="s">
        <v>2</v>
      </c>
      <c r="Y97" s="35">
        <v>18</v>
      </c>
      <c r="Z97" s="62"/>
      <c r="AA97" s="79"/>
      <c r="AB97" s="80"/>
      <c r="AC97" s="35"/>
      <c r="AD97" s="250">
        <f>SUM(AC97:AC107)</f>
        <v>48000000</v>
      </c>
      <c r="AE97" s="251"/>
      <c r="AF97" s="31" t="s">
        <v>526</v>
      </c>
      <c r="AG97" s="81"/>
      <c r="AH97" s="81"/>
      <c r="AI97" s="153"/>
      <c r="AJ97" s="153"/>
      <c r="AK97" s="153"/>
      <c r="AL97" s="153"/>
      <c r="AM97" s="153"/>
      <c r="AN97" s="153"/>
      <c r="AO97" s="153"/>
      <c r="AP97" s="153"/>
      <c r="AQ97" s="153"/>
      <c r="AR97" s="153"/>
      <c r="AS97" s="153"/>
      <c r="AT97" s="153"/>
      <c r="AU97" s="153"/>
      <c r="AV97" s="153"/>
      <c r="AW97" s="153"/>
      <c r="AX97" s="153"/>
      <c r="AY97" s="153"/>
      <c r="AZ97" s="153"/>
      <c r="BA97" s="153"/>
      <c r="BB97" s="153"/>
      <c r="BC97" s="153"/>
      <c r="BD97" s="153"/>
      <c r="BE97" s="153"/>
      <c r="BF97" s="153"/>
      <c r="BG97" s="153"/>
      <c r="BH97" s="153"/>
      <c r="BI97" s="153"/>
      <c r="BJ97" s="153"/>
      <c r="BK97" s="153"/>
      <c r="BL97" s="153"/>
      <c r="BM97" s="153"/>
      <c r="BN97" s="153"/>
    </row>
    <row r="98" spans="1:66" s="19" customFormat="1" ht="22.5" customHeight="1">
      <c r="A98" s="262"/>
      <c r="B98" s="271"/>
      <c r="C98" s="262"/>
      <c r="D98" s="262"/>
      <c r="E98" s="262"/>
      <c r="F98" s="262"/>
      <c r="G98" s="262"/>
      <c r="H98" s="264"/>
      <c r="I98" s="273"/>
      <c r="J98" s="250"/>
      <c r="K98" s="250"/>
      <c r="L98" s="250"/>
      <c r="M98" s="256"/>
      <c r="N98" s="250"/>
      <c r="O98" s="250"/>
      <c r="P98" s="250"/>
      <c r="Q98" s="250"/>
      <c r="R98" s="250"/>
      <c r="S98" s="250"/>
      <c r="T98" s="250"/>
      <c r="U98" s="67" t="s">
        <v>421</v>
      </c>
      <c r="V98" s="109"/>
      <c r="W98" s="109"/>
      <c r="X98" s="39" t="s">
        <v>2</v>
      </c>
      <c r="Y98" s="35">
        <v>18</v>
      </c>
      <c r="Z98" s="62">
        <v>2500000</v>
      </c>
      <c r="AA98" s="79"/>
      <c r="AB98" s="80">
        <v>1</v>
      </c>
      <c r="AC98" s="35">
        <f>Y98*Z98*AB98</f>
        <v>45000000</v>
      </c>
      <c r="AD98" s="250"/>
      <c r="AE98" s="251"/>
      <c r="AF98" s="31"/>
      <c r="AG98" s="81"/>
      <c r="AH98" s="81"/>
      <c r="AI98" s="153"/>
      <c r="AJ98" s="153"/>
      <c r="AK98" s="153"/>
      <c r="AL98" s="153"/>
      <c r="AM98" s="153"/>
      <c r="AN98" s="153"/>
      <c r="AO98" s="153"/>
      <c r="AP98" s="153"/>
      <c r="AQ98" s="153"/>
      <c r="AR98" s="153"/>
      <c r="AS98" s="153"/>
      <c r="AT98" s="153"/>
      <c r="AU98" s="153"/>
      <c r="AV98" s="153"/>
      <c r="AW98" s="153"/>
      <c r="AX98" s="153"/>
      <c r="AY98" s="153"/>
      <c r="AZ98" s="153"/>
      <c r="BA98" s="153"/>
      <c r="BB98" s="153"/>
      <c r="BC98" s="153"/>
      <c r="BD98" s="153"/>
      <c r="BE98" s="153"/>
      <c r="BF98" s="153"/>
      <c r="BG98" s="153"/>
      <c r="BH98" s="153"/>
      <c r="BI98" s="153"/>
      <c r="BJ98" s="153"/>
      <c r="BK98" s="153"/>
      <c r="BL98" s="153"/>
      <c r="BM98" s="153"/>
      <c r="BN98" s="153"/>
    </row>
    <row r="99" spans="1:66" s="19" customFormat="1" ht="36.75" customHeight="1">
      <c r="A99" s="262"/>
      <c r="B99" s="271"/>
      <c r="C99" s="262"/>
      <c r="D99" s="262"/>
      <c r="E99" s="262"/>
      <c r="F99" s="262"/>
      <c r="G99" s="262"/>
      <c r="H99" s="264"/>
      <c r="I99" s="273"/>
      <c r="J99" s="250"/>
      <c r="K99" s="250"/>
      <c r="L99" s="250"/>
      <c r="M99" s="256"/>
      <c r="N99" s="250"/>
      <c r="O99" s="250"/>
      <c r="P99" s="250"/>
      <c r="Q99" s="250"/>
      <c r="R99" s="250"/>
      <c r="S99" s="250"/>
      <c r="T99" s="250"/>
      <c r="U99" s="65" t="s">
        <v>527</v>
      </c>
      <c r="V99" s="109">
        <v>25</v>
      </c>
      <c r="W99" s="109">
        <f>H97/V99</f>
        <v>14.4</v>
      </c>
      <c r="X99" s="39" t="s">
        <v>2</v>
      </c>
      <c r="Y99" s="35">
        <v>10</v>
      </c>
      <c r="Z99" s="62"/>
      <c r="AA99" s="84"/>
      <c r="AB99" s="68"/>
      <c r="AC99" s="35"/>
      <c r="AD99" s="250"/>
      <c r="AE99" s="251"/>
      <c r="AF99" s="31"/>
      <c r="AG99" s="81"/>
      <c r="AH99" s="81"/>
      <c r="AI99" s="153"/>
      <c r="AJ99" s="153"/>
      <c r="AK99" s="153"/>
      <c r="AL99" s="153"/>
      <c r="AM99" s="153"/>
      <c r="AN99" s="153"/>
      <c r="AO99" s="153"/>
      <c r="AP99" s="153"/>
      <c r="AQ99" s="153"/>
      <c r="AR99" s="153"/>
      <c r="AS99" s="153"/>
      <c r="AT99" s="153"/>
      <c r="AU99" s="153"/>
      <c r="AV99" s="153"/>
      <c r="AW99" s="153"/>
      <c r="AX99" s="153"/>
      <c r="AY99" s="153"/>
      <c r="AZ99" s="153"/>
      <c r="BA99" s="153"/>
      <c r="BB99" s="153"/>
      <c r="BC99" s="153"/>
      <c r="BD99" s="153"/>
      <c r="BE99" s="153"/>
      <c r="BF99" s="153"/>
      <c r="BG99" s="153"/>
      <c r="BH99" s="153"/>
      <c r="BI99" s="153"/>
      <c r="BJ99" s="153"/>
      <c r="BK99" s="153"/>
      <c r="BL99" s="153"/>
      <c r="BM99" s="153"/>
      <c r="BN99" s="153"/>
    </row>
    <row r="100" spans="1:66" s="19" customFormat="1" ht="23.25" customHeight="1">
      <c r="A100" s="262"/>
      <c r="B100" s="271"/>
      <c r="C100" s="262"/>
      <c r="D100" s="262"/>
      <c r="E100" s="262"/>
      <c r="F100" s="262"/>
      <c r="G100" s="262"/>
      <c r="H100" s="264"/>
      <c r="I100" s="273"/>
      <c r="J100" s="250"/>
      <c r="K100" s="250"/>
      <c r="L100" s="250"/>
      <c r="M100" s="256"/>
      <c r="N100" s="250"/>
      <c r="O100" s="250"/>
      <c r="P100" s="250"/>
      <c r="Q100" s="250"/>
      <c r="R100" s="250"/>
      <c r="S100" s="250"/>
      <c r="T100" s="250"/>
      <c r="U100" s="67" t="s">
        <v>421</v>
      </c>
      <c r="V100" s="109"/>
      <c r="W100" s="109"/>
      <c r="X100" s="39" t="s">
        <v>2</v>
      </c>
      <c r="Y100" s="35">
        <v>10</v>
      </c>
      <c r="Z100" s="62">
        <v>1000000</v>
      </c>
      <c r="AA100" s="79"/>
      <c r="AB100" s="80">
        <v>0.3</v>
      </c>
      <c r="AC100" s="35">
        <f t="shared" ref="AC100" si="14">Y100*Z100*AB100</f>
        <v>3000000</v>
      </c>
      <c r="AD100" s="250"/>
      <c r="AE100" s="251"/>
      <c r="AF100" s="31"/>
      <c r="AG100" s="81"/>
      <c r="AH100" s="81"/>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153"/>
      <c r="BD100" s="153"/>
      <c r="BE100" s="153"/>
      <c r="BF100" s="153"/>
      <c r="BG100" s="153"/>
      <c r="BH100" s="153"/>
      <c r="BI100" s="153"/>
      <c r="BJ100" s="153"/>
      <c r="BK100" s="153"/>
      <c r="BL100" s="153"/>
      <c r="BM100" s="153"/>
      <c r="BN100" s="153"/>
    </row>
    <row r="101" spans="1:66" s="19" customFormat="1" ht="35.25" customHeight="1">
      <c r="A101" s="262"/>
      <c r="B101" s="271"/>
      <c r="C101" s="262"/>
      <c r="D101" s="262"/>
      <c r="E101" s="262"/>
      <c r="F101" s="262"/>
      <c r="G101" s="262"/>
      <c r="H101" s="264"/>
      <c r="I101" s="273"/>
      <c r="J101" s="250"/>
      <c r="K101" s="250"/>
      <c r="L101" s="250"/>
      <c r="M101" s="256"/>
      <c r="N101" s="250"/>
      <c r="O101" s="250"/>
      <c r="P101" s="250"/>
      <c r="Q101" s="250"/>
      <c r="R101" s="250"/>
      <c r="S101" s="250"/>
      <c r="T101" s="250"/>
      <c r="U101" s="65" t="s">
        <v>528</v>
      </c>
      <c r="V101" s="109"/>
      <c r="W101" s="109"/>
      <c r="X101" s="39" t="s">
        <v>2</v>
      </c>
      <c r="Y101" s="35">
        <v>10</v>
      </c>
      <c r="Z101" s="62"/>
      <c r="AA101" s="79"/>
      <c r="AB101" s="80"/>
      <c r="AC101" s="35"/>
      <c r="AD101" s="250"/>
      <c r="AE101" s="251"/>
      <c r="AF101" s="31"/>
      <c r="AG101" s="81"/>
      <c r="AH101" s="81"/>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153"/>
      <c r="BE101" s="153"/>
      <c r="BF101" s="153"/>
      <c r="BG101" s="153"/>
      <c r="BH101" s="153"/>
      <c r="BI101" s="153"/>
      <c r="BJ101" s="153"/>
      <c r="BK101" s="153"/>
      <c r="BL101" s="153"/>
      <c r="BM101" s="153"/>
      <c r="BN101" s="153"/>
    </row>
    <row r="102" spans="1:66" s="19" customFormat="1" ht="23.25" customHeight="1">
      <c r="A102" s="262"/>
      <c r="B102" s="271"/>
      <c r="C102" s="262"/>
      <c r="D102" s="262"/>
      <c r="E102" s="262"/>
      <c r="F102" s="262"/>
      <c r="G102" s="262"/>
      <c r="H102" s="264"/>
      <c r="I102" s="273"/>
      <c r="J102" s="250"/>
      <c r="K102" s="250"/>
      <c r="L102" s="250"/>
      <c r="M102" s="256"/>
      <c r="N102" s="250"/>
      <c r="O102" s="250"/>
      <c r="P102" s="250"/>
      <c r="Q102" s="250"/>
      <c r="R102" s="250"/>
      <c r="S102" s="250"/>
      <c r="T102" s="250"/>
      <c r="U102" s="67" t="s">
        <v>486</v>
      </c>
      <c r="V102" s="109"/>
      <c r="W102" s="109"/>
      <c r="X102" s="39" t="s">
        <v>2</v>
      </c>
      <c r="Y102" s="35">
        <v>10</v>
      </c>
      <c r="Z102" s="62">
        <v>500000</v>
      </c>
      <c r="AA102" s="79"/>
      <c r="AB102" s="80">
        <v>0</v>
      </c>
      <c r="AC102" s="35">
        <f t="shared" ref="AC102" si="15">Y102*Z102*AB102</f>
        <v>0</v>
      </c>
      <c r="AD102" s="250"/>
      <c r="AE102" s="251"/>
      <c r="AF102" s="31"/>
      <c r="AG102" s="81"/>
      <c r="AH102" s="81"/>
      <c r="AI102" s="153"/>
      <c r="AJ102" s="153"/>
      <c r="AK102" s="153"/>
      <c r="AL102" s="153"/>
      <c r="AM102" s="153"/>
      <c r="AN102" s="153"/>
      <c r="AO102" s="153"/>
      <c r="AP102" s="153"/>
      <c r="AQ102" s="153"/>
      <c r="AR102" s="153"/>
      <c r="AS102" s="153"/>
      <c r="AT102" s="153"/>
      <c r="AU102" s="153"/>
      <c r="AV102" s="153"/>
      <c r="AW102" s="153"/>
      <c r="AX102" s="153"/>
      <c r="AY102" s="153"/>
      <c r="AZ102" s="153"/>
      <c r="BA102" s="153"/>
      <c r="BB102" s="153"/>
      <c r="BC102" s="153"/>
      <c r="BD102" s="153"/>
      <c r="BE102" s="153"/>
      <c r="BF102" s="153"/>
      <c r="BG102" s="153"/>
      <c r="BH102" s="153"/>
      <c r="BI102" s="153"/>
      <c r="BJ102" s="153"/>
      <c r="BK102" s="153"/>
      <c r="BL102" s="153"/>
      <c r="BM102" s="153"/>
      <c r="BN102" s="153"/>
    </row>
    <row r="103" spans="1:66" s="19" customFormat="1" ht="37.5" customHeight="1">
      <c r="A103" s="262"/>
      <c r="B103" s="271"/>
      <c r="C103" s="262"/>
      <c r="D103" s="262"/>
      <c r="E103" s="262"/>
      <c r="F103" s="262"/>
      <c r="G103" s="262"/>
      <c r="H103" s="264"/>
      <c r="I103" s="273"/>
      <c r="J103" s="250"/>
      <c r="K103" s="250"/>
      <c r="L103" s="250"/>
      <c r="M103" s="256"/>
      <c r="N103" s="250"/>
      <c r="O103" s="250"/>
      <c r="P103" s="250"/>
      <c r="Q103" s="250"/>
      <c r="R103" s="250"/>
      <c r="S103" s="250"/>
      <c r="T103" s="250"/>
      <c r="U103" s="65" t="s">
        <v>529</v>
      </c>
      <c r="V103" s="109"/>
      <c r="W103" s="109"/>
      <c r="X103" s="39" t="s">
        <v>2</v>
      </c>
      <c r="Y103" s="35">
        <v>10</v>
      </c>
      <c r="Z103" s="62"/>
      <c r="AA103" s="84"/>
      <c r="AB103" s="68"/>
      <c r="AC103" s="35"/>
      <c r="AD103" s="250"/>
      <c r="AE103" s="251"/>
      <c r="AF103" s="31"/>
      <c r="AG103" s="81"/>
      <c r="AH103" s="81"/>
      <c r="AI103" s="153"/>
      <c r="AJ103" s="153"/>
      <c r="AK103" s="153"/>
      <c r="AL103" s="153"/>
      <c r="AM103" s="153"/>
      <c r="AN103" s="153"/>
      <c r="AO103" s="153"/>
      <c r="AP103" s="153"/>
      <c r="AQ103" s="153"/>
      <c r="AR103" s="153"/>
      <c r="AS103" s="153"/>
      <c r="AT103" s="153"/>
      <c r="AU103" s="153"/>
      <c r="AV103" s="153"/>
      <c r="AW103" s="153"/>
      <c r="AX103" s="153"/>
      <c r="AY103" s="153"/>
      <c r="AZ103" s="153"/>
      <c r="BA103" s="153"/>
      <c r="BB103" s="153"/>
      <c r="BC103" s="153"/>
      <c r="BD103" s="153"/>
      <c r="BE103" s="153"/>
      <c r="BF103" s="153"/>
      <c r="BG103" s="153"/>
      <c r="BH103" s="153"/>
      <c r="BI103" s="153"/>
      <c r="BJ103" s="153"/>
      <c r="BK103" s="153"/>
      <c r="BL103" s="153"/>
      <c r="BM103" s="153"/>
      <c r="BN103" s="153"/>
    </row>
    <row r="104" spans="1:66" s="19" customFormat="1" ht="23.25" customHeight="1">
      <c r="A104" s="262"/>
      <c r="B104" s="271"/>
      <c r="C104" s="262"/>
      <c r="D104" s="262"/>
      <c r="E104" s="262"/>
      <c r="F104" s="262"/>
      <c r="G104" s="262"/>
      <c r="H104" s="264"/>
      <c r="I104" s="273"/>
      <c r="J104" s="250"/>
      <c r="K104" s="250"/>
      <c r="L104" s="250"/>
      <c r="M104" s="256"/>
      <c r="N104" s="250"/>
      <c r="O104" s="250"/>
      <c r="P104" s="250"/>
      <c r="Q104" s="250"/>
      <c r="R104" s="250"/>
      <c r="S104" s="250"/>
      <c r="T104" s="250"/>
      <c r="U104" s="67" t="s">
        <v>486</v>
      </c>
      <c r="V104" s="109"/>
      <c r="W104" s="109"/>
      <c r="X104" s="39" t="s">
        <v>2</v>
      </c>
      <c r="Y104" s="35">
        <v>100</v>
      </c>
      <c r="Z104" s="62">
        <v>190000</v>
      </c>
      <c r="AA104" s="79"/>
      <c r="AB104" s="80">
        <v>0</v>
      </c>
      <c r="AC104" s="35">
        <f t="shared" ref="AC104" si="16">Y104*Z104*AB104</f>
        <v>0</v>
      </c>
      <c r="AD104" s="250"/>
      <c r="AE104" s="251"/>
      <c r="AF104" s="31"/>
      <c r="AG104" s="81"/>
      <c r="AH104" s="81"/>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153"/>
      <c r="BD104" s="153"/>
      <c r="BE104" s="153"/>
      <c r="BF104" s="153"/>
      <c r="BG104" s="153"/>
      <c r="BH104" s="153"/>
      <c r="BI104" s="153"/>
      <c r="BJ104" s="153"/>
      <c r="BK104" s="153"/>
      <c r="BL104" s="153"/>
      <c r="BM104" s="153"/>
      <c r="BN104" s="153"/>
    </row>
    <row r="105" spans="1:66" s="19" customFormat="1" ht="53.25" customHeight="1">
      <c r="A105" s="262"/>
      <c r="B105" s="271"/>
      <c r="C105" s="262"/>
      <c r="D105" s="262"/>
      <c r="E105" s="262"/>
      <c r="F105" s="262"/>
      <c r="G105" s="262"/>
      <c r="H105" s="264"/>
      <c r="I105" s="273"/>
      <c r="J105" s="250"/>
      <c r="K105" s="250"/>
      <c r="L105" s="250"/>
      <c r="M105" s="256"/>
      <c r="N105" s="250"/>
      <c r="O105" s="250"/>
      <c r="P105" s="250"/>
      <c r="Q105" s="250"/>
      <c r="R105" s="250"/>
      <c r="S105" s="250"/>
      <c r="T105" s="250"/>
      <c r="U105" s="69" t="s">
        <v>470</v>
      </c>
      <c r="V105" s="109"/>
      <c r="W105" s="109"/>
      <c r="X105" s="39" t="s">
        <v>6</v>
      </c>
      <c r="Y105" s="61">
        <v>181.5</v>
      </c>
      <c r="Z105" s="62"/>
      <c r="AA105" s="79"/>
      <c r="AB105" s="80"/>
      <c r="AC105" s="35"/>
      <c r="AD105" s="250"/>
      <c r="AE105" s="251"/>
      <c r="AF105" s="31"/>
      <c r="AG105" s="81"/>
      <c r="AH105" s="81"/>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53"/>
      <c r="BN105" s="153"/>
    </row>
    <row r="106" spans="1:66" s="19" customFormat="1" ht="48" customHeight="1">
      <c r="A106" s="262"/>
      <c r="B106" s="271"/>
      <c r="C106" s="262"/>
      <c r="D106" s="262"/>
      <c r="E106" s="262"/>
      <c r="F106" s="262"/>
      <c r="G106" s="262"/>
      <c r="H106" s="264"/>
      <c r="I106" s="273"/>
      <c r="J106" s="250"/>
      <c r="K106" s="250"/>
      <c r="L106" s="250"/>
      <c r="M106" s="256"/>
      <c r="N106" s="250"/>
      <c r="O106" s="250"/>
      <c r="P106" s="250"/>
      <c r="Q106" s="250"/>
      <c r="R106" s="250"/>
      <c r="S106" s="250"/>
      <c r="T106" s="250"/>
      <c r="U106" s="49" t="s">
        <v>508</v>
      </c>
      <c r="V106" s="109"/>
      <c r="W106" s="109"/>
      <c r="X106" s="39" t="s">
        <v>6</v>
      </c>
      <c r="Y106" s="61">
        <v>6</v>
      </c>
      <c r="Z106" s="62"/>
      <c r="AA106" s="79"/>
      <c r="AB106" s="80"/>
      <c r="AC106" s="35"/>
      <c r="AD106" s="250"/>
      <c r="AE106" s="251"/>
      <c r="AF106" s="31"/>
      <c r="AG106" s="81"/>
      <c r="AH106" s="81"/>
      <c r="AI106" s="153"/>
      <c r="AJ106" s="153"/>
      <c r="AK106" s="153"/>
      <c r="AL106" s="153"/>
      <c r="AM106" s="153"/>
      <c r="AN106" s="153"/>
      <c r="AO106" s="153"/>
      <c r="AP106" s="153"/>
      <c r="AQ106" s="153"/>
      <c r="AR106" s="153"/>
      <c r="AS106" s="153"/>
      <c r="AT106" s="153"/>
      <c r="AU106" s="153"/>
      <c r="AV106" s="153"/>
      <c r="AW106" s="153"/>
      <c r="AX106" s="153"/>
      <c r="AY106" s="153"/>
      <c r="AZ106" s="153"/>
      <c r="BA106" s="153"/>
      <c r="BB106" s="153"/>
      <c r="BC106" s="153"/>
      <c r="BD106" s="153"/>
      <c r="BE106" s="153"/>
      <c r="BF106" s="153"/>
      <c r="BG106" s="153"/>
      <c r="BH106" s="153"/>
      <c r="BI106" s="153"/>
      <c r="BJ106" s="153"/>
      <c r="BK106" s="153"/>
      <c r="BL106" s="153"/>
      <c r="BM106" s="153"/>
      <c r="BN106" s="153"/>
    </row>
    <row r="107" spans="1:66" s="19" customFormat="1" ht="23.25" customHeight="1">
      <c r="A107" s="262"/>
      <c r="B107" s="271"/>
      <c r="C107" s="262"/>
      <c r="D107" s="262"/>
      <c r="E107" s="262"/>
      <c r="F107" s="262"/>
      <c r="G107" s="262"/>
      <c r="H107" s="264"/>
      <c r="I107" s="273"/>
      <c r="J107" s="250"/>
      <c r="K107" s="250"/>
      <c r="L107" s="250"/>
      <c r="M107" s="256"/>
      <c r="N107" s="250"/>
      <c r="O107" s="250"/>
      <c r="P107" s="250"/>
      <c r="Q107" s="250"/>
      <c r="R107" s="250"/>
      <c r="S107" s="250"/>
      <c r="T107" s="250"/>
      <c r="U107" s="49" t="s">
        <v>484</v>
      </c>
      <c r="V107" s="109"/>
      <c r="W107" s="109"/>
      <c r="X107" s="39" t="s">
        <v>399</v>
      </c>
      <c r="Y107" s="61">
        <v>1</v>
      </c>
      <c r="Z107" s="62"/>
      <c r="AA107" s="79"/>
      <c r="AB107" s="80"/>
      <c r="AC107" s="35"/>
      <c r="AD107" s="250"/>
      <c r="AE107" s="251"/>
      <c r="AF107" s="31"/>
      <c r="AG107" s="81"/>
      <c r="AH107" s="81"/>
      <c r="AI107" s="153"/>
      <c r="AJ107" s="153"/>
      <c r="AK107" s="153"/>
      <c r="AL107" s="153"/>
      <c r="AM107" s="153"/>
      <c r="AN107" s="153"/>
      <c r="AO107" s="153"/>
      <c r="AP107" s="153"/>
      <c r="AQ107" s="153"/>
      <c r="AR107" s="153"/>
      <c r="AS107" s="153"/>
      <c r="AT107" s="153"/>
      <c r="AU107" s="153"/>
      <c r="AV107" s="153"/>
      <c r="AW107" s="153"/>
      <c r="AX107" s="153"/>
      <c r="AY107" s="153"/>
      <c r="AZ107" s="153"/>
      <c r="BA107" s="153"/>
      <c r="BB107" s="153"/>
      <c r="BC107" s="153"/>
      <c r="BD107" s="153"/>
      <c r="BE107" s="153"/>
      <c r="BF107" s="153"/>
      <c r="BG107" s="153"/>
      <c r="BH107" s="153"/>
      <c r="BI107" s="153"/>
      <c r="BJ107" s="153"/>
      <c r="BK107" s="153"/>
      <c r="BL107" s="153"/>
      <c r="BM107" s="153"/>
      <c r="BN107" s="153"/>
    </row>
    <row r="108" spans="1:66" s="20" customFormat="1" ht="30.75" customHeight="1">
      <c r="A108" s="262">
        <v>14</v>
      </c>
      <c r="B108" s="271" t="s">
        <v>531</v>
      </c>
      <c r="C108" s="271" t="s">
        <v>412</v>
      </c>
      <c r="D108" s="258">
        <v>64</v>
      </c>
      <c r="E108" s="258">
        <v>598</v>
      </c>
      <c r="F108" s="258">
        <v>356.8</v>
      </c>
      <c r="G108" s="258" t="s">
        <v>28</v>
      </c>
      <c r="H108" s="250">
        <v>360</v>
      </c>
      <c r="I108" s="256">
        <f>F108-H108</f>
        <v>-3.1999999999999886</v>
      </c>
      <c r="J108" s="250">
        <v>360</v>
      </c>
      <c r="K108" s="250">
        <v>360</v>
      </c>
      <c r="L108" s="250">
        <v>450</v>
      </c>
      <c r="M108" s="272">
        <f>J108/K108*100</f>
        <v>100</v>
      </c>
      <c r="N108" s="250">
        <v>12</v>
      </c>
      <c r="O108" s="250">
        <v>2</v>
      </c>
      <c r="P108" s="250">
        <v>80000</v>
      </c>
      <c r="Q108" s="250">
        <f>P108*J108</f>
        <v>28800000</v>
      </c>
      <c r="R108" s="250">
        <f>Q108*3</f>
        <v>86400000</v>
      </c>
      <c r="S108" s="250">
        <f>N108*O108*17000*30</f>
        <v>12240000</v>
      </c>
      <c r="T108" s="250">
        <f>SUM(Q108:S118)</f>
        <v>127440000</v>
      </c>
      <c r="U108" s="65" t="s">
        <v>457</v>
      </c>
      <c r="V108" s="109">
        <v>25</v>
      </c>
      <c r="W108" s="109">
        <f>(J108-Y116)/V108</f>
        <v>14.175999999999998</v>
      </c>
      <c r="X108" s="39" t="s">
        <v>2</v>
      </c>
      <c r="Y108" s="35">
        <v>10</v>
      </c>
      <c r="Z108" s="62"/>
      <c r="AA108" s="79"/>
      <c r="AB108" s="80"/>
      <c r="AC108" s="35"/>
      <c r="AD108" s="250">
        <f>SUM(AC108:AC118)</f>
        <v>50050000</v>
      </c>
      <c r="AE108" s="251">
        <f>T108+AD108</f>
        <v>177490000</v>
      </c>
      <c r="AF108" s="31" t="s">
        <v>452</v>
      </c>
      <c r="AG108" s="29"/>
      <c r="AH108" s="29"/>
      <c r="AI108" s="155"/>
      <c r="AJ108" s="155"/>
      <c r="AK108" s="292"/>
      <c r="AL108" s="292"/>
      <c r="AM108" s="292"/>
      <c r="AN108" s="292"/>
      <c r="AO108" s="292"/>
      <c r="AP108" s="292"/>
      <c r="AQ108" s="292"/>
      <c r="AR108" s="292"/>
      <c r="AS108" s="292"/>
      <c r="AT108" s="292"/>
      <c r="AU108" s="292"/>
      <c r="AV108" s="292"/>
      <c r="AW108" s="292"/>
      <c r="AX108" s="292"/>
      <c r="AY108" s="292"/>
      <c r="AZ108" s="292"/>
      <c r="BA108" s="292"/>
      <c r="BB108" s="292"/>
      <c r="BC108" s="292"/>
      <c r="BD108" s="292"/>
      <c r="BE108" s="292"/>
      <c r="BF108" s="292"/>
      <c r="BG108" s="292"/>
      <c r="BH108" s="292"/>
      <c r="BI108" s="292"/>
      <c r="BJ108" s="292"/>
      <c r="BK108" s="292"/>
      <c r="BL108" s="292"/>
      <c r="BM108" s="292"/>
      <c r="BN108" s="292"/>
    </row>
    <row r="109" spans="1:66" s="20" customFormat="1" ht="22.5" customHeight="1">
      <c r="A109" s="262"/>
      <c r="B109" s="271"/>
      <c r="C109" s="271"/>
      <c r="D109" s="258"/>
      <c r="E109" s="258"/>
      <c r="F109" s="258"/>
      <c r="G109" s="258"/>
      <c r="H109" s="250"/>
      <c r="I109" s="256"/>
      <c r="J109" s="250"/>
      <c r="K109" s="250"/>
      <c r="L109" s="250"/>
      <c r="M109" s="272"/>
      <c r="N109" s="250"/>
      <c r="O109" s="250"/>
      <c r="P109" s="250"/>
      <c r="Q109" s="250"/>
      <c r="R109" s="250"/>
      <c r="S109" s="250"/>
      <c r="T109" s="250"/>
      <c r="U109" s="67" t="s">
        <v>421</v>
      </c>
      <c r="V109" s="109"/>
      <c r="W109" s="109"/>
      <c r="X109" s="39" t="s">
        <v>2</v>
      </c>
      <c r="Y109" s="35">
        <v>10</v>
      </c>
      <c r="Z109" s="62">
        <v>4500000</v>
      </c>
      <c r="AA109" s="79"/>
      <c r="AB109" s="80">
        <v>1</v>
      </c>
      <c r="AC109" s="35">
        <f>Y109*Z109*AB109</f>
        <v>45000000</v>
      </c>
      <c r="AD109" s="250"/>
      <c r="AE109" s="251"/>
      <c r="AF109" s="31"/>
      <c r="AG109" s="29"/>
      <c r="AH109" s="29"/>
      <c r="AI109" s="155"/>
      <c r="AJ109" s="155"/>
      <c r="AK109" s="292"/>
      <c r="AL109" s="292"/>
      <c r="AM109" s="292"/>
      <c r="AN109" s="292"/>
      <c r="AO109" s="292"/>
      <c r="AP109" s="292"/>
      <c r="AQ109" s="292"/>
      <c r="AR109" s="292"/>
      <c r="AS109" s="292"/>
      <c r="AT109" s="292"/>
      <c r="AU109" s="292"/>
      <c r="AV109" s="292"/>
      <c r="AW109" s="292"/>
      <c r="AX109" s="292"/>
      <c r="AY109" s="292"/>
      <c r="AZ109" s="292"/>
      <c r="BA109" s="292"/>
      <c r="BB109" s="292"/>
      <c r="BC109" s="292"/>
      <c r="BD109" s="292"/>
      <c r="BE109" s="292"/>
      <c r="BF109" s="292"/>
      <c r="BG109" s="292"/>
      <c r="BH109" s="292"/>
      <c r="BI109" s="292"/>
      <c r="BJ109" s="292"/>
      <c r="BK109" s="292"/>
      <c r="BL109" s="292"/>
      <c r="BM109" s="292"/>
      <c r="BN109" s="292"/>
    </row>
    <row r="110" spans="1:66" s="20" customFormat="1" ht="31.5">
      <c r="A110" s="262"/>
      <c r="B110" s="271"/>
      <c r="C110" s="271"/>
      <c r="D110" s="258"/>
      <c r="E110" s="258"/>
      <c r="F110" s="258"/>
      <c r="G110" s="258"/>
      <c r="H110" s="250"/>
      <c r="I110" s="256"/>
      <c r="J110" s="250"/>
      <c r="K110" s="250"/>
      <c r="L110" s="250"/>
      <c r="M110" s="272"/>
      <c r="N110" s="250"/>
      <c r="O110" s="250"/>
      <c r="P110" s="250"/>
      <c r="Q110" s="250"/>
      <c r="R110" s="250"/>
      <c r="S110" s="250"/>
      <c r="T110" s="250"/>
      <c r="U110" s="65" t="s">
        <v>527</v>
      </c>
      <c r="V110" s="109">
        <v>25</v>
      </c>
      <c r="W110" s="109">
        <f>(J108-Y116)/V110</f>
        <v>14.175999999999998</v>
      </c>
      <c r="X110" s="39" t="s">
        <v>2</v>
      </c>
      <c r="Y110" s="35">
        <v>8</v>
      </c>
      <c r="Z110" s="62"/>
      <c r="AA110" s="84"/>
      <c r="AB110" s="68"/>
      <c r="AC110" s="35"/>
      <c r="AD110" s="250"/>
      <c r="AE110" s="251"/>
      <c r="AF110" s="31"/>
      <c r="AG110" s="29"/>
      <c r="AH110" s="29"/>
      <c r="AI110" s="155"/>
      <c r="AJ110" s="155"/>
      <c r="AK110" s="292"/>
      <c r="AL110" s="292"/>
      <c r="AM110" s="292"/>
      <c r="AN110" s="292"/>
      <c r="AO110" s="292"/>
      <c r="AP110" s="292"/>
      <c r="AQ110" s="292"/>
      <c r="AR110" s="292"/>
      <c r="AS110" s="292"/>
      <c r="AT110" s="292"/>
      <c r="AU110" s="292"/>
      <c r="AV110" s="292"/>
      <c r="AW110" s="292"/>
      <c r="AX110" s="292"/>
      <c r="AY110" s="292"/>
      <c r="AZ110" s="292"/>
      <c r="BA110" s="292"/>
      <c r="BB110" s="292"/>
      <c r="BC110" s="292"/>
      <c r="BD110" s="292"/>
      <c r="BE110" s="292"/>
      <c r="BF110" s="292"/>
      <c r="BG110" s="292"/>
      <c r="BH110" s="292"/>
      <c r="BI110" s="292"/>
      <c r="BJ110" s="292"/>
      <c r="BK110" s="292"/>
      <c r="BL110" s="292"/>
      <c r="BM110" s="292"/>
      <c r="BN110" s="292"/>
    </row>
    <row r="111" spans="1:66" s="20" customFormat="1" ht="21.75" customHeight="1">
      <c r="A111" s="262"/>
      <c r="B111" s="271"/>
      <c r="C111" s="271"/>
      <c r="D111" s="258"/>
      <c r="E111" s="258"/>
      <c r="F111" s="258"/>
      <c r="G111" s="258"/>
      <c r="H111" s="250"/>
      <c r="I111" s="256"/>
      <c r="J111" s="250"/>
      <c r="K111" s="250"/>
      <c r="L111" s="250"/>
      <c r="M111" s="272"/>
      <c r="N111" s="250"/>
      <c r="O111" s="250"/>
      <c r="P111" s="250"/>
      <c r="Q111" s="250"/>
      <c r="R111" s="250"/>
      <c r="S111" s="250"/>
      <c r="T111" s="250"/>
      <c r="U111" s="67" t="s">
        <v>421</v>
      </c>
      <c r="V111" s="109"/>
      <c r="W111" s="109"/>
      <c r="X111" s="39" t="s">
        <v>2</v>
      </c>
      <c r="Y111" s="35">
        <v>8</v>
      </c>
      <c r="Z111" s="62">
        <v>1000000</v>
      </c>
      <c r="AA111" s="79"/>
      <c r="AB111" s="80">
        <v>0.5</v>
      </c>
      <c r="AC111" s="35">
        <f t="shared" ref="AC111" si="17">Y111*Z111*AB111</f>
        <v>4000000</v>
      </c>
      <c r="AD111" s="250"/>
      <c r="AE111" s="251"/>
      <c r="AF111" s="31"/>
      <c r="AG111" s="29"/>
      <c r="AH111" s="29"/>
      <c r="AI111" s="155"/>
      <c r="AJ111" s="155"/>
      <c r="AK111" s="292"/>
      <c r="AL111" s="292"/>
      <c r="AM111" s="292"/>
      <c r="AN111" s="292"/>
      <c r="AO111" s="292"/>
      <c r="AP111" s="292"/>
      <c r="AQ111" s="292"/>
      <c r="AR111" s="292"/>
      <c r="AS111" s="292"/>
      <c r="AT111" s="292"/>
      <c r="AU111" s="292"/>
      <c r="AV111" s="292"/>
      <c r="AW111" s="292"/>
      <c r="AX111" s="292"/>
      <c r="AY111" s="292"/>
      <c r="AZ111" s="292"/>
      <c r="BA111" s="292"/>
      <c r="BB111" s="292"/>
      <c r="BC111" s="292"/>
      <c r="BD111" s="292"/>
      <c r="BE111" s="292"/>
      <c r="BF111" s="292"/>
      <c r="BG111" s="292"/>
      <c r="BH111" s="292"/>
      <c r="BI111" s="292"/>
      <c r="BJ111" s="292"/>
      <c r="BK111" s="292"/>
      <c r="BL111" s="292"/>
      <c r="BM111" s="292"/>
      <c r="BN111" s="292"/>
    </row>
    <row r="112" spans="1:66" s="20" customFormat="1" ht="35.25" customHeight="1">
      <c r="A112" s="262"/>
      <c r="B112" s="271"/>
      <c r="C112" s="271"/>
      <c r="D112" s="258"/>
      <c r="E112" s="258"/>
      <c r="F112" s="258"/>
      <c r="G112" s="258"/>
      <c r="H112" s="250"/>
      <c r="I112" s="256"/>
      <c r="J112" s="250"/>
      <c r="K112" s="250"/>
      <c r="L112" s="250"/>
      <c r="M112" s="272"/>
      <c r="N112" s="250"/>
      <c r="O112" s="250"/>
      <c r="P112" s="250"/>
      <c r="Q112" s="250"/>
      <c r="R112" s="250"/>
      <c r="S112" s="250"/>
      <c r="T112" s="250"/>
      <c r="U112" s="65" t="s">
        <v>533</v>
      </c>
      <c r="V112" s="109">
        <v>10</v>
      </c>
      <c r="W112" s="109">
        <f>(J108-Y116)/V112</f>
        <v>35.44</v>
      </c>
      <c r="X112" s="39" t="s">
        <v>2</v>
      </c>
      <c r="Y112" s="35">
        <v>2</v>
      </c>
      <c r="Z112" s="62"/>
      <c r="AA112" s="79"/>
      <c r="AB112" s="80"/>
      <c r="AC112" s="35"/>
      <c r="AD112" s="250"/>
      <c r="AE112" s="251"/>
      <c r="AF112" s="31"/>
      <c r="AG112" s="29"/>
      <c r="AH112" s="29"/>
      <c r="AI112" s="155"/>
      <c r="AJ112" s="155"/>
      <c r="AK112" s="292"/>
      <c r="AL112" s="292"/>
      <c r="AM112" s="292"/>
      <c r="AN112" s="292"/>
      <c r="AO112" s="292"/>
      <c r="AP112" s="292"/>
      <c r="AQ112" s="292"/>
      <c r="AR112" s="292"/>
      <c r="AS112" s="292"/>
      <c r="AT112" s="292"/>
      <c r="AU112" s="292"/>
      <c r="AV112" s="292"/>
      <c r="AW112" s="292"/>
      <c r="AX112" s="292"/>
      <c r="AY112" s="292"/>
      <c r="AZ112" s="292"/>
      <c r="BA112" s="292"/>
      <c r="BB112" s="292"/>
      <c r="BC112" s="292"/>
      <c r="BD112" s="292"/>
      <c r="BE112" s="292"/>
      <c r="BF112" s="292"/>
      <c r="BG112" s="292"/>
      <c r="BH112" s="292"/>
      <c r="BI112" s="292"/>
      <c r="BJ112" s="292"/>
      <c r="BK112" s="292"/>
      <c r="BL112" s="292"/>
      <c r="BM112" s="292"/>
      <c r="BN112" s="292"/>
    </row>
    <row r="113" spans="1:66" s="20" customFormat="1" ht="23.25" customHeight="1">
      <c r="A113" s="262"/>
      <c r="B113" s="271"/>
      <c r="C113" s="271"/>
      <c r="D113" s="258"/>
      <c r="E113" s="258"/>
      <c r="F113" s="258"/>
      <c r="G113" s="258"/>
      <c r="H113" s="250"/>
      <c r="I113" s="256"/>
      <c r="J113" s="250"/>
      <c r="K113" s="250"/>
      <c r="L113" s="250"/>
      <c r="M113" s="272"/>
      <c r="N113" s="250"/>
      <c r="O113" s="250"/>
      <c r="P113" s="250"/>
      <c r="Q113" s="250"/>
      <c r="R113" s="250"/>
      <c r="S113" s="250"/>
      <c r="T113" s="250"/>
      <c r="U113" s="67" t="s">
        <v>421</v>
      </c>
      <c r="V113" s="109"/>
      <c r="W113" s="109"/>
      <c r="X113" s="39" t="s">
        <v>2</v>
      </c>
      <c r="Y113" s="35">
        <v>2</v>
      </c>
      <c r="Z113" s="62">
        <v>200000</v>
      </c>
      <c r="AA113" s="79"/>
      <c r="AB113" s="80">
        <v>0.5</v>
      </c>
      <c r="AC113" s="35">
        <f t="shared" ref="AC113" si="18">Y113*Z113*AB113</f>
        <v>200000</v>
      </c>
      <c r="AD113" s="250"/>
      <c r="AE113" s="251"/>
      <c r="AF113" s="31"/>
      <c r="AG113" s="29"/>
      <c r="AH113" s="29"/>
      <c r="AI113" s="155"/>
      <c r="AJ113" s="155"/>
      <c r="AK113" s="292"/>
      <c r="AL113" s="292"/>
      <c r="AM113" s="292"/>
      <c r="AN113" s="292"/>
      <c r="AO113" s="292"/>
      <c r="AP113" s="292"/>
      <c r="AQ113" s="292"/>
      <c r="AR113" s="292"/>
      <c r="AS113" s="292"/>
      <c r="AT113" s="292"/>
      <c r="AU113" s="292"/>
      <c r="AV113" s="292"/>
      <c r="AW113" s="292"/>
      <c r="AX113" s="292"/>
      <c r="AY113" s="292"/>
      <c r="AZ113" s="292"/>
      <c r="BA113" s="292"/>
      <c r="BB113" s="292"/>
      <c r="BC113" s="292"/>
      <c r="BD113" s="292"/>
      <c r="BE113" s="292"/>
      <c r="BF113" s="292"/>
      <c r="BG113" s="292"/>
      <c r="BH113" s="292"/>
      <c r="BI113" s="292"/>
      <c r="BJ113" s="292"/>
      <c r="BK113" s="292"/>
      <c r="BL113" s="292"/>
      <c r="BM113" s="292"/>
      <c r="BN113" s="292"/>
    </row>
    <row r="114" spans="1:66" s="20" customFormat="1" ht="31.5">
      <c r="A114" s="262"/>
      <c r="B114" s="271"/>
      <c r="C114" s="271"/>
      <c r="D114" s="258"/>
      <c r="E114" s="258"/>
      <c r="F114" s="258"/>
      <c r="G114" s="258"/>
      <c r="H114" s="250"/>
      <c r="I114" s="256"/>
      <c r="J114" s="250"/>
      <c r="K114" s="250"/>
      <c r="L114" s="250"/>
      <c r="M114" s="272"/>
      <c r="N114" s="250"/>
      <c r="O114" s="250"/>
      <c r="P114" s="250"/>
      <c r="Q114" s="250"/>
      <c r="R114" s="250"/>
      <c r="S114" s="250"/>
      <c r="T114" s="250"/>
      <c r="U114" s="65" t="s">
        <v>534</v>
      </c>
      <c r="V114" s="109">
        <v>28.57</v>
      </c>
      <c r="W114" s="109">
        <f>(J108-Y116)/V114</f>
        <v>12.404620231011549</v>
      </c>
      <c r="X114" s="39" t="s">
        <v>2</v>
      </c>
      <c r="Y114" s="35">
        <v>2</v>
      </c>
      <c r="Z114" s="62"/>
      <c r="AA114" s="84"/>
      <c r="AB114" s="68"/>
      <c r="AC114" s="35"/>
      <c r="AD114" s="250"/>
      <c r="AE114" s="251"/>
      <c r="AF114" s="31"/>
      <c r="AG114" s="29"/>
      <c r="AH114" s="29"/>
      <c r="AI114" s="155"/>
      <c r="AJ114" s="155"/>
      <c r="AK114" s="292"/>
      <c r="AL114" s="292"/>
      <c r="AM114" s="292"/>
      <c r="AN114" s="292"/>
      <c r="AO114" s="292"/>
      <c r="AP114" s="292"/>
      <c r="AQ114" s="292"/>
      <c r="AR114" s="292"/>
      <c r="AS114" s="292"/>
      <c r="AT114" s="292"/>
      <c r="AU114" s="292"/>
      <c r="AV114" s="292"/>
      <c r="AW114" s="292"/>
      <c r="AX114" s="292"/>
      <c r="AY114" s="292"/>
      <c r="AZ114" s="292"/>
      <c r="BA114" s="292"/>
      <c r="BB114" s="292"/>
      <c r="BC114" s="292"/>
      <c r="BD114" s="292"/>
      <c r="BE114" s="292"/>
      <c r="BF114" s="292"/>
      <c r="BG114" s="292"/>
      <c r="BH114" s="292"/>
      <c r="BI114" s="292"/>
      <c r="BJ114" s="292"/>
      <c r="BK114" s="292"/>
      <c r="BL114" s="292"/>
      <c r="BM114" s="292"/>
      <c r="BN114" s="292"/>
    </row>
    <row r="115" spans="1:66" s="20" customFormat="1" ht="21" customHeight="1">
      <c r="A115" s="262"/>
      <c r="B115" s="271"/>
      <c r="C115" s="271"/>
      <c r="D115" s="258"/>
      <c r="E115" s="258"/>
      <c r="F115" s="258"/>
      <c r="G115" s="258"/>
      <c r="H115" s="250"/>
      <c r="I115" s="256"/>
      <c r="J115" s="250"/>
      <c r="K115" s="250"/>
      <c r="L115" s="250"/>
      <c r="M115" s="272"/>
      <c r="N115" s="250"/>
      <c r="O115" s="250"/>
      <c r="P115" s="250"/>
      <c r="Q115" s="250"/>
      <c r="R115" s="250"/>
      <c r="S115" s="250"/>
      <c r="T115" s="250"/>
      <c r="U115" s="67" t="s">
        <v>421</v>
      </c>
      <c r="V115" s="109"/>
      <c r="W115" s="109"/>
      <c r="X115" s="39" t="s">
        <v>2</v>
      </c>
      <c r="Y115" s="35">
        <v>2</v>
      </c>
      <c r="Z115" s="62">
        <v>850000</v>
      </c>
      <c r="AA115" s="79"/>
      <c r="AB115" s="80">
        <v>0.5</v>
      </c>
      <c r="AC115" s="35">
        <f t="shared" ref="AC115" si="19">Y115*Z115*AB115</f>
        <v>850000</v>
      </c>
      <c r="AD115" s="250"/>
      <c r="AE115" s="251"/>
      <c r="AF115" s="31"/>
      <c r="AG115" s="29"/>
      <c r="AH115" s="29"/>
      <c r="AI115" s="155"/>
      <c r="AJ115" s="155"/>
      <c r="AK115" s="292"/>
      <c r="AL115" s="292"/>
      <c r="AM115" s="292"/>
      <c r="AN115" s="292"/>
      <c r="AO115" s="292"/>
      <c r="AP115" s="292"/>
      <c r="AQ115" s="292"/>
      <c r="AR115" s="292"/>
      <c r="AS115" s="292"/>
      <c r="AT115" s="292"/>
      <c r="AU115" s="292"/>
      <c r="AV115" s="292"/>
      <c r="AW115" s="292"/>
      <c r="AX115" s="292"/>
      <c r="AY115" s="292"/>
      <c r="AZ115" s="292"/>
      <c r="BA115" s="292"/>
      <c r="BB115" s="292"/>
      <c r="BC115" s="292"/>
      <c r="BD115" s="292"/>
      <c r="BE115" s="292"/>
      <c r="BF115" s="292"/>
      <c r="BG115" s="292"/>
      <c r="BH115" s="292"/>
      <c r="BI115" s="292"/>
      <c r="BJ115" s="292"/>
      <c r="BK115" s="292"/>
      <c r="BL115" s="292"/>
      <c r="BM115" s="292"/>
      <c r="BN115" s="292"/>
    </row>
    <row r="116" spans="1:66" s="20" customFormat="1" ht="21" customHeight="1">
      <c r="A116" s="262"/>
      <c r="B116" s="271"/>
      <c r="C116" s="271"/>
      <c r="D116" s="258"/>
      <c r="E116" s="258"/>
      <c r="F116" s="258"/>
      <c r="G116" s="258"/>
      <c r="H116" s="250"/>
      <c r="I116" s="256"/>
      <c r="J116" s="250"/>
      <c r="K116" s="250"/>
      <c r="L116" s="250"/>
      <c r="M116" s="272"/>
      <c r="N116" s="250"/>
      <c r="O116" s="250"/>
      <c r="P116" s="250"/>
      <c r="Q116" s="250"/>
      <c r="R116" s="250"/>
      <c r="S116" s="250"/>
      <c r="T116" s="250"/>
      <c r="U116" s="69" t="s">
        <v>535</v>
      </c>
      <c r="V116" s="109"/>
      <c r="W116" s="109"/>
      <c r="X116" s="39" t="s">
        <v>0</v>
      </c>
      <c r="Y116" s="61">
        <v>5.6</v>
      </c>
      <c r="Z116" s="62"/>
      <c r="AA116" s="79"/>
      <c r="AB116" s="80"/>
      <c r="AC116" s="35"/>
      <c r="AD116" s="250"/>
      <c r="AE116" s="251"/>
      <c r="AF116" s="31"/>
      <c r="AG116" s="29"/>
      <c r="AH116" s="29"/>
      <c r="AI116" s="155"/>
      <c r="AJ116" s="155"/>
      <c r="AK116" s="292"/>
      <c r="AL116" s="292"/>
      <c r="AM116" s="292"/>
      <c r="AN116" s="292"/>
      <c r="AO116" s="292"/>
      <c r="AP116" s="292"/>
      <c r="AQ116" s="292"/>
      <c r="AR116" s="292"/>
      <c r="AS116" s="292"/>
      <c r="AT116" s="292"/>
      <c r="AU116" s="292"/>
      <c r="AV116" s="292"/>
      <c r="AW116" s="292"/>
      <c r="AX116" s="292"/>
      <c r="AY116" s="292"/>
      <c r="AZ116" s="292"/>
      <c r="BA116" s="292"/>
      <c r="BB116" s="292"/>
      <c r="BC116" s="292"/>
      <c r="BD116" s="292"/>
      <c r="BE116" s="292"/>
      <c r="BF116" s="292"/>
      <c r="BG116" s="292"/>
      <c r="BH116" s="292"/>
      <c r="BI116" s="292"/>
      <c r="BJ116" s="292"/>
      <c r="BK116" s="292"/>
      <c r="BL116" s="292"/>
      <c r="BM116" s="292"/>
      <c r="BN116" s="292"/>
    </row>
    <row r="117" spans="1:66" s="20" customFormat="1" ht="58.5" customHeight="1">
      <c r="A117" s="262"/>
      <c r="B117" s="271"/>
      <c r="C117" s="271"/>
      <c r="D117" s="258"/>
      <c r="E117" s="258"/>
      <c r="F117" s="258"/>
      <c r="G117" s="258"/>
      <c r="H117" s="250"/>
      <c r="I117" s="256"/>
      <c r="J117" s="250"/>
      <c r="K117" s="250"/>
      <c r="L117" s="250"/>
      <c r="M117" s="272"/>
      <c r="N117" s="250"/>
      <c r="O117" s="250"/>
      <c r="P117" s="250"/>
      <c r="Q117" s="250"/>
      <c r="R117" s="250"/>
      <c r="S117" s="250"/>
      <c r="T117" s="250"/>
      <c r="U117" s="69" t="s">
        <v>536</v>
      </c>
      <c r="V117" s="109"/>
      <c r="W117" s="109"/>
      <c r="X117" s="39" t="s">
        <v>6</v>
      </c>
      <c r="Y117" s="35">
        <v>4.2</v>
      </c>
      <c r="Z117" s="62"/>
      <c r="AA117" s="79"/>
      <c r="AB117" s="80"/>
      <c r="AC117" s="35"/>
      <c r="AD117" s="250"/>
      <c r="AE117" s="251"/>
      <c r="AF117" s="31"/>
      <c r="AG117" s="29"/>
      <c r="AH117" s="29"/>
      <c r="AI117" s="155"/>
      <c r="AJ117" s="155"/>
      <c r="AK117" s="292"/>
      <c r="AL117" s="292"/>
      <c r="AM117" s="292"/>
      <c r="AN117" s="292"/>
      <c r="AO117" s="292"/>
      <c r="AP117" s="292"/>
      <c r="AQ117" s="292"/>
      <c r="AR117" s="292"/>
      <c r="AS117" s="292"/>
      <c r="AT117" s="292"/>
      <c r="AU117" s="292"/>
      <c r="AV117" s="292"/>
      <c r="AW117" s="292"/>
      <c r="AX117" s="292"/>
      <c r="AY117" s="292"/>
      <c r="AZ117" s="292"/>
      <c r="BA117" s="292"/>
      <c r="BB117" s="292"/>
      <c r="BC117" s="292"/>
      <c r="BD117" s="292"/>
      <c r="BE117" s="292"/>
      <c r="BF117" s="292"/>
      <c r="BG117" s="292"/>
      <c r="BH117" s="292"/>
      <c r="BI117" s="292"/>
      <c r="BJ117" s="292"/>
      <c r="BK117" s="292"/>
      <c r="BL117" s="292"/>
      <c r="BM117" s="292"/>
      <c r="BN117" s="292"/>
    </row>
    <row r="118" spans="1:66" s="20" customFormat="1" ht="48.75" customHeight="1">
      <c r="A118" s="262"/>
      <c r="B118" s="271"/>
      <c r="C118" s="271"/>
      <c r="D118" s="258"/>
      <c r="E118" s="258"/>
      <c r="F118" s="258"/>
      <c r="G118" s="258"/>
      <c r="H118" s="250"/>
      <c r="I118" s="256"/>
      <c r="J118" s="250"/>
      <c r="K118" s="250"/>
      <c r="L118" s="250"/>
      <c r="M118" s="272"/>
      <c r="N118" s="250"/>
      <c r="O118" s="250"/>
      <c r="P118" s="250"/>
      <c r="Q118" s="250"/>
      <c r="R118" s="250"/>
      <c r="S118" s="250"/>
      <c r="T118" s="250"/>
      <c r="U118" s="49" t="s">
        <v>537</v>
      </c>
      <c r="V118" s="101"/>
      <c r="W118" s="101"/>
      <c r="X118" s="39" t="s">
        <v>6</v>
      </c>
      <c r="Y118" s="101">
        <v>11</v>
      </c>
      <c r="Z118" s="100"/>
      <c r="AA118" s="84"/>
      <c r="AB118" s="39"/>
      <c r="AC118" s="35"/>
      <c r="AD118" s="250"/>
      <c r="AE118" s="251"/>
      <c r="AF118" s="31"/>
      <c r="AG118" s="29"/>
      <c r="AH118" s="29"/>
      <c r="AI118" s="155"/>
      <c r="AJ118" s="155"/>
      <c r="AK118" s="292"/>
      <c r="AL118" s="292"/>
      <c r="AM118" s="292"/>
      <c r="AN118" s="292"/>
      <c r="AO118" s="292"/>
      <c r="AP118" s="292"/>
      <c r="AQ118" s="292"/>
      <c r="AR118" s="292"/>
      <c r="AS118" s="292"/>
      <c r="AT118" s="292"/>
      <c r="AU118" s="292"/>
      <c r="AV118" s="292"/>
      <c r="AW118" s="292"/>
      <c r="AX118" s="292"/>
      <c r="AY118" s="292"/>
      <c r="AZ118" s="292"/>
      <c r="BA118" s="292"/>
      <c r="BB118" s="292"/>
      <c r="BC118" s="292"/>
      <c r="BD118" s="292"/>
      <c r="BE118" s="292"/>
      <c r="BF118" s="292"/>
      <c r="BG118" s="292"/>
      <c r="BH118" s="292"/>
      <c r="BI118" s="292"/>
      <c r="BJ118" s="292"/>
      <c r="BK118" s="292"/>
      <c r="BL118" s="292"/>
      <c r="BM118" s="292"/>
      <c r="BN118" s="292"/>
    </row>
    <row r="119" spans="1:66" s="20" customFormat="1" ht="31.5" customHeight="1">
      <c r="A119" s="262">
        <v>15</v>
      </c>
      <c r="B119" s="271" t="s">
        <v>404</v>
      </c>
      <c r="C119" s="271" t="s">
        <v>412</v>
      </c>
      <c r="D119" s="258">
        <v>64</v>
      </c>
      <c r="E119" s="258">
        <v>482</v>
      </c>
      <c r="F119" s="258">
        <v>179.9</v>
      </c>
      <c r="G119" s="258" t="s">
        <v>28</v>
      </c>
      <c r="H119" s="250">
        <v>180</v>
      </c>
      <c r="I119" s="256">
        <f>F119-H119</f>
        <v>-9.9999999999994316E-2</v>
      </c>
      <c r="J119" s="250">
        <v>180</v>
      </c>
      <c r="K119" s="250">
        <v>702</v>
      </c>
      <c r="L119" s="250">
        <v>450</v>
      </c>
      <c r="M119" s="272">
        <f>J119/K119*100</f>
        <v>25.641025641025639</v>
      </c>
      <c r="N119" s="250">
        <v>5</v>
      </c>
      <c r="O119" s="250">
        <v>2</v>
      </c>
      <c r="P119" s="250">
        <v>80000</v>
      </c>
      <c r="Q119" s="250">
        <f>P119*J119</f>
        <v>14400000</v>
      </c>
      <c r="R119" s="250">
        <f>Q119*3</f>
        <v>43200000</v>
      </c>
      <c r="S119" s="250">
        <f>N119*O119*17000*30</f>
        <v>5100000</v>
      </c>
      <c r="T119" s="250">
        <f>SUM(Q119:S122)</f>
        <v>62700000</v>
      </c>
      <c r="U119" s="65" t="s">
        <v>545</v>
      </c>
      <c r="V119" s="109">
        <v>25</v>
      </c>
      <c r="W119" s="109">
        <f>J119/V119</f>
        <v>7.2</v>
      </c>
      <c r="X119" s="39" t="s">
        <v>2</v>
      </c>
      <c r="Y119" s="35">
        <v>7</v>
      </c>
      <c r="Z119" s="62"/>
      <c r="AA119" s="84"/>
      <c r="AB119" s="68"/>
      <c r="AC119" s="35"/>
      <c r="AD119" s="250">
        <f>SUM(AC119:AC122)</f>
        <v>27370000</v>
      </c>
      <c r="AE119" s="251">
        <f>T119+AD119</f>
        <v>90070000</v>
      </c>
      <c r="AF119" s="31" t="s">
        <v>546</v>
      </c>
      <c r="AG119" s="29"/>
      <c r="AH119" s="29"/>
      <c r="AI119" s="155"/>
      <c r="AJ119" s="155"/>
      <c r="AK119" s="292"/>
      <c r="AL119" s="292"/>
      <c r="AM119" s="292"/>
      <c r="AN119" s="292"/>
      <c r="AO119" s="292"/>
      <c r="AP119" s="292"/>
      <c r="AQ119" s="292"/>
      <c r="AR119" s="292"/>
      <c r="AS119" s="292"/>
      <c r="AT119" s="292"/>
      <c r="AU119" s="292"/>
      <c r="AV119" s="292"/>
      <c r="AW119" s="292"/>
      <c r="AX119" s="292"/>
      <c r="AY119" s="292"/>
      <c r="AZ119" s="292"/>
      <c r="BA119" s="292"/>
      <c r="BB119" s="292"/>
      <c r="BC119" s="292"/>
      <c r="BD119" s="292"/>
      <c r="BE119" s="292"/>
      <c r="BF119" s="292"/>
      <c r="BG119" s="292"/>
      <c r="BH119" s="292"/>
      <c r="BI119" s="292"/>
      <c r="BJ119" s="292"/>
      <c r="BK119" s="292"/>
      <c r="BL119" s="292"/>
      <c r="BM119" s="292"/>
      <c r="BN119" s="292"/>
    </row>
    <row r="120" spans="1:66" s="20" customFormat="1" ht="22.5" customHeight="1">
      <c r="A120" s="262"/>
      <c r="B120" s="271"/>
      <c r="C120" s="271"/>
      <c r="D120" s="258"/>
      <c r="E120" s="258"/>
      <c r="F120" s="258"/>
      <c r="G120" s="258"/>
      <c r="H120" s="250"/>
      <c r="I120" s="256"/>
      <c r="J120" s="250"/>
      <c r="K120" s="250"/>
      <c r="L120" s="250"/>
      <c r="M120" s="272"/>
      <c r="N120" s="250"/>
      <c r="O120" s="250"/>
      <c r="P120" s="250"/>
      <c r="Q120" s="250"/>
      <c r="R120" s="250"/>
      <c r="S120" s="250"/>
      <c r="T120" s="250"/>
      <c r="U120" s="67" t="s">
        <v>421</v>
      </c>
      <c r="V120" s="109"/>
      <c r="W120" s="109"/>
      <c r="X120" s="39" t="s">
        <v>2</v>
      </c>
      <c r="Y120" s="35">
        <v>7</v>
      </c>
      <c r="Z120" s="62">
        <v>3850000</v>
      </c>
      <c r="AA120" s="79"/>
      <c r="AB120" s="80">
        <v>1</v>
      </c>
      <c r="AC120" s="35">
        <f t="shared" ref="AC120" si="20">Y120*Z120*AB120</f>
        <v>26950000</v>
      </c>
      <c r="AD120" s="250"/>
      <c r="AE120" s="251"/>
      <c r="AF120" s="31"/>
      <c r="AG120" s="29"/>
      <c r="AH120" s="29"/>
      <c r="AI120" s="155"/>
      <c r="AJ120" s="155"/>
      <c r="AK120" s="292"/>
      <c r="AL120" s="292"/>
      <c r="AM120" s="292"/>
      <c r="AN120" s="292"/>
      <c r="AO120" s="292"/>
      <c r="AP120" s="292"/>
      <c r="AQ120" s="292"/>
      <c r="AR120" s="292"/>
      <c r="AS120" s="292"/>
      <c r="AT120" s="292"/>
      <c r="AU120" s="292"/>
      <c r="AV120" s="292"/>
      <c r="AW120" s="292"/>
      <c r="AX120" s="292"/>
      <c r="AY120" s="292"/>
      <c r="AZ120" s="292"/>
      <c r="BA120" s="292"/>
      <c r="BB120" s="292"/>
      <c r="BC120" s="292"/>
      <c r="BD120" s="292"/>
      <c r="BE120" s="292"/>
      <c r="BF120" s="292"/>
      <c r="BG120" s="292"/>
      <c r="BH120" s="292"/>
      <c r="BI120" s="292"/>
      <c r="BJ120" s="292"/>
      <c r="BK120" s="292"/>
      <c r="BL120" s="292"/>
      <c r="BM120" s="292"/>
      <c r="BN120" s="292"/>
    </row>
    <row r="121" spans="1:66" s="20" customFormat="1" ht="31.5">
      <c r="A121" s="262"/>
      <c r="B121" s="271"/>
      <c r="C121" s="271"/>
      <c r="D121" s="258"/>
      <c r="E121" s="258"/>
      <c r="F121" s="258"/>
      <c r="G121" s="258"/>
      <c r="H121" s="250"/>
      <c r="I121" s="256"/>
      <c r="J121" s="250"/>
      <c r="K121" s="250"/>
      <c r="L121" s="250"/>
      <c r="M121" s="272"/>
      <c r="N121" s="250"/>
      <c r="O121" s="250"/>
      <c r="P121" s="250"/>
      <c r="Q121" s="250"/>
      <c r="R121" s="250"/>
      <c r="S121" s="250"/>
      <c r="T121" s="250"/>
      <c r="U121" s="65" t="s">
        <v>547</v>
      </c>
      <c r="V121" s="109">
        <v>10</v>
      </c>
      <c r="W121" s="109">
        <f>J119/V121</f>
        <v>18</v>
      </c>
      <c r="X121" s="39" t="s">
        <v>396</v>
      </c>
      <c r="Y121" s="35">
        <v>10</v>
      </c>
      <c r="Z121" s="62"/>
      <c r="AA121" s="84"/>
      <c r="AB121" s="68"/>
      <c r="AC121" s="35"/>
      <c r="AD121" s="250"/>
      <c r="AE121" s="251"/>
      <c r="AF121" s="31"/>
      <c r="AG121" s="29"/>
      <c r="AH121" s="29"/>
      <c r="AI121" s="155"/>
      <c r="AJ121" s="155"/>
      <c r="AK121" s="292"/>
      <c r="AL121" s="292"/>
      <c r="AM121" s="292"/>
      <c r="AN121" s="292"/>
      <c r="AO121" s="292"/>
      <c r="AP121" s="292"/>
      <c r="AQ121" s="292"/>
      <c r="AR121" s="292"/>
      <c r="AS121" s="292"/>
      <c r="AT121" s="292"/>
      <c r="AU121" s="292"/>
      <c r="AV121" s="292"/>
      <c r="AW121" s="292"/>
      <c r="AX121" s="292"/>
      <c r="AY121" s="292"/>
      <c r="AZ121" s="292"/>
      <c r="BA121" s="292"/>
      <c r="BB121" s="292"/>
      <c r="BC121" s="292"/>
      <c r="BD121" s="292"/>
      <c r="BE121" s="292"/>
      <c r="BF121" s="292"/>
      <c r="BG121" s="292"/>
      <c r="BH121" s="292"/>
      <c r="BI121" s="292"/>
      <c r="BJ121" s="292"/>
      <c r="BK121" s="292"/>
      <c r="BL121" s="292"/>
      <c r="BM121" s="292"/>
      <c r="BN121" s="292"/>
    </row>
    <row r="122" spans="1:66" s="20" customFormat="1" ht="21" customHeight="1">
      <c r="A122" s="262"/>
      <c r="B122" s="271"/>
      <c r="C122" s="271"/>
      <c r="D122" s="258"/>
      <c r="E122" s="258"/>
      <c r="F122" s="258"/>
      <c r="G122" s="258"/>
      <c r="H122" s="250"/>
      <c r="I122" s="256"/>
      <c r="J122" s="250"/>
      <c r="K122" s="250"/>
      <c r="L122" s="250"/>
      <c r="M122" s="272"/>
      <c r="N122" s="250"/>
      <c r="O122" s="250"/>
      <c r="P122" s="250"/>
      <c r="Q122" s="250"/>
      <c r="R122" s="250"/>
      <c r="S122" s="250"/>
      <c r="T122" s="250"/>
      <c r="U122" s="67" t="s">
        <v>421</v>
      </c>
      <c r="V122" s="109"/>
      <c r="W122" s="109"/>
      <c r="X122" s="39" t="s">
        <v>396</v>
      </c>
      <c r="Y122" s="35">
        <v>10</v>
      </c>
      <c r="Z122" s="62">
        <v>140000</v>
      </c>
      <c r="AA122" s="84"/>
      <c r="AB122" s="68">
        <v>0.3</v>
      </c>
      <c r="AC122" s="35">
        <f>Y122*Z122*AB122</f>
        <v>420000</v>
      </c>
      <c r="AD122" s="250"/>
      <c r="AE122" s="251"/>
      <c r="AF122" s="31"/>
      <c r="AG122" s="29"/>
      <c r="AH122" s="29"/>
      <c r="AI122" s="155"/>
      <c r="AJ122" s="155"/>
      <c r="AK122" s="292"/>
      <c r="AL122" s="292"/>
      <c r="AM122" s="292"/>
      <c r="AN122" s="292"/>
      <c r="AO122" s="292"/>
      <c r="AP122" s="292"/>
      <c r="AQ122" s="292"/>
      <c r="AR122" s="292"/>
      <c r="AS122" s="292"/>
      <c r="AT122" s="292"/>
      <c r="AU122" s="292"/>
      <c r="AV122" s="292"/>
      <c r="AW122" s="292"/>
      <c r="AX122" s="292"/>
      <c r="AY122" s="292"/>
      <c r="AZ122" s="292"/>
      <c r="BA122" s="292"/>
      <c r="BB122" s="292"/>
      <c r="BC122" s="292"/>
      <c r="BD122" s="292"/>
      <c r="BE122" s="292"/>
      <c r="BF122" s="292"/>
      <c r="BG122" s="292"/>
      <c r="BH122" s="292"/>
      <c r="BI122" s="292"/>
      <c r="BJ122" s="292"/>
      <c r="BK122" s="292"/>
      <c r="BL122" s="292"/>
      <c r="BM122" s="292"/>
      <c r="BN122" s="292"/>
    </row>
    <row r="123" spans="1:66" s="20" customFormat="1" ht="33.75" customHeight="1">
      <c r="A123" s="262">
        <v>16</v>
      </c>
      <c r="B123" s="271" t="s">
        <v>405</v>
      </c>
      <c r="C123" s="271" t="s">
        <v>412</v>
      </c>
      <c r="D123" s="258">
        <v>64</v>
      </c>
      <c r="E123" s="258">
        <v>496</v>
      </c>
      <c r="F123" s="258">
        <v>1459.3</v>
      </c>
      <c r="G123" s="258" t="s">
        <v>28</v>
      </c>
      <c r="H123" s="250">
        <v>1444.5</v>
      </c>
      <c r="I123" s="256">
        <f>F123-H123</f>
        <v>14.799999999999955</v>
      </c>
      <c r="J123" s="250">
        <v>1444.5</v>
      </c>
      <c r="K123" s="250">
        <v>1800</v>
      </c>
      <c r="L123" s="250">
        <v>450</v>
      </c>
      <c r="M123" s="272">
        <f>J123/K123*100</f>
        <v>80.25</v>
      </c>
      <c r="N123" s="250">
        <v>12</v>
      </c>
      <c r="O123" s="250">
        <v>10</v>
      </c>
      <c r="P123" s="250">
        <v>80000</v>
      </c>
      <c r="Q123" s="250">
        <f>P123*J123</f>
        <v>115560000</v>
      </c>
      <c r="R123" s="250">
        <f>Q123*3</f>
        <v>346680000</v>
      </c>
      <c r="S123" s="250">
        <f>N123*O123*17000*30</f>
        <v>61200000</v>
      </c>
      <c r="T123" s="250">
        <f>SUM(Q123:S139)</f>
        <v>523440000</v>
      </c>
      <c r="U123" s="65" t="s">
        <v>457</v>
      </c>
      <c r="V123" s="109">
        <v>25</v>
      </c>
      <c r="W123" s="109">
        <f>(J123-12)/V123</f>
        <v>57.3</v>
      </c>
      <c r="X123" s="39" t="s">
        <v>2</v>
      </c>
      <c r="Y123" s="35">
        <v>29</v>
      </c>
      <c r="Z123" s="62"/>
      <c r="AA123" s="79"/>
      <c r="AB123" s="80"/>
      <c r="AC123" s="35"/>
      <c r="AD123" s="250">
        <f>SUM(AC123:AC139)</f>
        <v>250705000</v>
      </c>
      <c r="AE123" s="251">
        <f>T123+AD123</f>
        <v>774145000</v>
      </c>
      <c r="AF123" s="31" t="s">
        <v>448</v>
      </c>
      <c r="AG123" s="29"/>
      <c r="AH123" s="29"/>
      <c r="AI123" s="155"/>
      <c r="AJ123" s="155"/>
      <c r="AK123" s="292"/>
      <c r="AL123" s="292"/>
      <c r="AM123" s="292"/>
      <c r="AN123" s="292"/>
      <c r="AO123" s="292"/>
      <c r="AP123" s="292"/>
      <c r="AQ123" s="292"/>
      <c r="AR123" s="292"/>
      <c r="AS123" s="292"/>
      <c r="AT123" s="292"/>
      <c r="AU123" s="292"/>
      <c r="AV123" s="292"/>
      <c r="AW123" s="292"/>
      <c r="AX123" s="292"/>
      <c r="AY123" s="292"/>
      <c r="AZ123" s="292"/>
      <c r="BA123" s="292"/>
      <c r="BB123" s="292"/>
      <c r="BC123" s="292"/>
      <c r="BD123" s="292"/>
      <c r="BE123" s="292"/>
      <c r="BF123" s="292"/>
      <c r="BG123" s="292"/>
      <c r="BH123" s="292"/>
      <c r="BI123" s="292"/>
      <c r="BJ123" s="292"/>
      <c r="BK123" s="292"/>
      <c r="BL123" s="292"/>
      <c r="BM123" s="292"/>
      <c r="BN123" s="292"/>
    </row>
    <row r="124" spans="1:66" s="20" customFormat="1" ht="21" customHeight="1">
      <c r="A124" s="262"/>
      <c r="B124" s="271"/>
      <c r="C124" s="271"/>
      <c r="D124" s="258"/>
      <c r="E124" s="258"/>
      <c r="F124" s="258"/>
      <c r="G124" s="258"/>
      <c r="H124" s="250"/>
      <c r="I124" s="256"/>
      <c r="J124" s="250"/>
      <c r="K124" s="250"/>
      <c r="L124" s="250"/>
      <c r="M124" s="272"/>
      <c r="N124" s="250"/>
      <c r="O124" s="250"/>
      <c r="P124" s="250"/>
      <c r="Q124" s="250"/>
      <c r="R124" s="250"/>
      <c r="S124" s="250"/>
      <c r="T124" s="250"/>
      <c r="U124" s="67" t="s">
        <v>421</v>
      </c>
      <c r="V124" s="109"/>
      <c r="W124" s="109"/>
      <c r="X124" s="39" t="s">
        <v>2</v>
      </c>
      <c r="Y124" s="35">
        <v>29</v>
      </c>
      <c r="Z124" s="62">
        <v>4500000</v>
      </c>
      <c r="AA124" s="79"/>
      <c r="AB124" s="80">
        <v>1</v>
      </c>
      <c r="AC124" s="35">
        <f>Y124*Z124*AB124</f>
        <v>130500000</v>
      </c>
      <c r="AD124" s="250"/>
      <c r="AE124" s="251"/>
      <c r="AF124" s="31"/>
      <c r="AG124" s="29"/>
      <c r="AH124" s="29"/>
      <c r="AI124" s="155"/>
      <c r="AJ124" s="155"/>
      <c r="AK124" s="292"/>
      <c r="AL124" s="292"/>
      <c r="AM124" s="292"/>
      <c r="AN124" s="292"/>
      <c r="AO124" s="292"/>
      <c r="AP124" s="292"/>
      <c r="AQ124" s="292"/>
      <c r="AR124" s="292"/>
      <c r="AS124" s="292"/>
      <c r="AT124" s="292"/>
      <c r="AU124" s="292"/>
      <c r="AV124" s="292"/>
      <c r="AW124" s="292"/>
      <c r="AX124" s="292"/>
      <c r="AY124" s="292"/>
      <c r="AZ124" s="292"/>
      <c r="BA124" s="292"/>
      <c r="BB124" s="292"/>
      <c r="BC124" s="292"/>
      <c r="BD124" s="292"/>
      <c r="BE124" s="292"/>
      <c r="BF124" s="292"/>
      <c r="BG124" s="292"/>
      <c r="BH124" s="292"/>
      <c r="BI124" s="292"/>
      <c r="BJ124" s="292"/>
      <c r="BK124" s="292"/>
      <c r="BL124" s="292"/>
      <c r="BM124" s="292"/>
      <c r="BN124" s="292"/>
    </row>
    <row r="125" spans="1:66" s="20" customFormat="1" ht="31.5">
      <c r="A125" s="262"/>
      <c r="B125" s="271"/>
      <c r="C125" s="271"/>
      <c r="D125" s="258"/>
      <c r="E125" s="258"/>
      <c r="F125" s="258"/>
      <c r="G125" s="258"/>
      <c r="H125" s="250"/>
      <c r="I125" s="256"/>
      <c r="J125" s="250"/>
      <c r="K125" s="250"/>
      <c r="L125" s="250"/>
      <c r="M125" s="272"/>
      <c r="N125" s="250"/>
      <c r="O125" s="250"/>
      <c r="P125" s="250"/>
      <c r="Q125" s="250"/>
      <c r="R125" s="250"/>
      <c r="S125" s="250"/>
      <c r="T125" s="250"/>
      <c r="U125" s="65" t="s">
        <v>643</v>
      </c>
      <c r="V125" s="109"/>
      <c r="W125" s="109"/>
      <c r="X125" s="39" t="s">
        <v>2</v>
      </c>
      <c r="Y125" s="35">
        <v>30</v>
      </c>
      <c r="Z125" s="62"/>
      <c r="AA125" s="84"/>
      <c r="AB125" s="68"/>
      <c r="AC125" s="35"/>
      <c r="AD125" s="250"/>
      <c r="AE125" s="251"/>
      <c r="AF125" s="31"/>
      <c r="AG125" s="29"/>
      <c r="AH125" s="29"/>
      <c r="AI125" s="155"/>
      <c r="AJ125" s="155"/>
      <c r="AK125" s="292"/>
      <c r="AL125" s="292"/>
      <c r="AM125" s="292"/>
      <c r="AN125" s="292"/>
      <c r="AO125" s="292"/>
      <c r="AP125" s="292"/>
      <c r="AQ125" s="292"/>
      <c r="AR125" s="292"/>
      <c r="AS125" s="292"/>
      <c r="AT125" s="292"/>
      <c r="AU125" s="292"/>
      <c r="AV125" s="292"/>
      <c r="AW125" s="292"/>
      <c r="AX125" s="292"/>
      <c r="AY125" s="292"/>
      <c r="AZ125" s="292"/>
      <c r="BA125" s="292"/>
      <c r="BB125" s="292"/>
      <c r="BC125" s="292"/>
      <c r="BD125" s="292"/>
      <c r="BE125" s="292"/>
      <c r="BF125" s="292"/>
      <c r="BG125" s="292"/>
      <c r="BH125" s="292"/>
      <c r="BI125" s="292"/>
      <c r="BJ125" s="292"/>
      <c r="BK125" s="292"/>
      <c r="BL125" s="292"/>
      <c r="BM125" s="292"/>
      <c r="BN125" s="292"/>
    </row>
    <row r="126" spans="1:66" s="20" customFormat="1" ht="21" customHeight="1">
      <c r="A126" s="262"/>
      <c r="B126" s="271"/>
      <c r="C126" s="271"/>
      <c r="D126" s="258"/>
      <c r="E126" s="258"/>
      <c r="F126" s="258"/>
      <c r="G126" s="258"/>
      <c r="H126" s="250"/>
      <c r="I126" s="256"/>
      <c r="J126" s="250"/>
      <c r="K126" s="250"/>
      <c r="L126" s="250"/>
      <c r="M126" s="272"/>
      <c r="N126" s="250"/>
      <c r="O126" s="250"/>
      <c r="P126" s="250"/>
      <c r="Q126" s="250"/>
      <c r="R126" s="250"/>
      <c r="S126" s="250"/>
      <c r="T126" s="250"/>
      <c r="U126" s="67" t="s">
        <v>421</v>
      </c>
      <c r="V126" s="109"/>
      <c r="W126" s="109"/>
      <c r="X126" s="39" t="s">
        <v>2</v>
      </c>
      <c r="Y126" s="35">
        <v>28</v>
      </c>
      <c r="Z126" s="62">
        <v>3850000</v>
      </c>
      <c r="AA126" s="79"/>
      <c r="AB126" s="80">
        <v>1</v>
      </c>
      <c r="AC126" s="35">
        <f t="shared" ref="AC126:AC128" si="21">Y126*Z126*AB126</f>
        <v>107800000</v>
      </c>
      <c r="AD126" s="250"/>
      <c r="AE126" s="251"/>
      <c r="AF126" s="31"/>
      <c r="AG126" s="29"/>
      <c r="AH126" s="29"/>
      <c r="AI126" s="155"/>
      <c r="AJ126" s="155"/>
      <c r="AK126" s="292"/>
      <c r="AL126" s="292"/>
      <c r="AM126" s="292"/>
      <c r="AN126" s="292"/>
      <c r="AO126" s="292"/>
      <c r="AP126" s="292"/>
      <c r="AQ126" s="292"/>
      <c r="AR126" s="292"/>
      <c r="AS126" s="292"/>
      <c r="AT126" s="292"/>
      <c r="AU126" s="292"/>
      <c r="AV126" s="292"/>
      <c r="AW126" s="292"/>
      <c r="AX126" s="292"/>
      <c r="AY126" s="292"/>
      <c r="AZ126" s="292"/>
      <c r="BA126" s="292"/>
      <c r="BB126" s="292"/>
      <c r="BC126" s="292"/>
      <c r="BD126" s="292"/>
      <c r="BE126" s="292"/>
      <c r="BF126" s="292"/>
      <c r="BG126" s="292"/>
      <c r="BH126" s="292"/>
      <c r="BI126" s="292"/>
      <c r="BJ126" s="292"/>
      <c r="BK126" s="292"/>
      <c r="BL126" s="292"/>
      <c r="BM126" s="292"/>
      <c r="BN126" s="292"/>
    </row>
    <row r="127" spans="1:66" s="20" customFormat="1" ht="21" customHeight="1">
      <c r="A127" s="262"/>
      <c r="B127" s="271"/>
      <c r="C127" s="271"/>
      <c r="D127" s="258"/>
      <c r="E127" s="258"/>
      <c r="F127" s="258"/>
      <c r="G127" s="258"/>
      <c r="H127" s="250"/>
      <c r="I127" s="256"/>
      <c r="J127" s="250"/>
      <c r="K127" s="250"/>
      <c r="L127" s="250"/>
      <c r="M127" s="272"/>
      <c r="N127" s="250"/>
      <c r="O127" s="250"/>
      <c r="P127" s="250"/>
      <c r="Q127" s="250"/>
      <c r="R127" s="250"/>
      <c r="S127" s="250"/>
      <c r="T127" s="250"/>
      <c r="U127" s="67" t="s">
        <v>423</v>
      </c>
      <c r="V127" s="109"/>
      <c r="W127" s="109">
        <f>0.3*2</f>
        <v>0.6</v>
      </c>
      <c r="X127" s="39" t="s">
        <v>2</v>
      </c>
      <c r="Y127" s="35">
        <v>1</v>
      </c>
      <c r="Z127" s="62">
        <v>3850000</v>
      </c>
      <c r="AA127" s="79"/>
      <c r="AB127" s="80">
        <v>0.3</v>
      </c>
      <c r="AC127" s="35">
        <f t="shared" si="21"/>
        <v>1155000</v>
      </c>
      <c r="AD127" s="250"/>
      <c r="AE127" s="251"/>
      <c r="AF127" s="31"/>
      <c r="AG127" s="29"/>
      <c r="AH127" s="29"/>
      <c r="AI127" s="155"/>
      <c r="AJ127" s="155"/>
      <c r="AK127" s="292"/>
      <c r="AL127" s="292"/>
      <c r="AM127" s="292"/>
      <c r="AN127" s="292"/>
      <c r="AO127" s="292"/>
      <c r="AP127" s="292"/>
      <c r="AQ127" s="292"/>
      <c r="AR127" s="292"/>
      <c r="AS127" s="292"/>
      <c r="AT127" s="292"/>
      <c r="AU127" s="292"/>
      <c r="AV127" s="292"/>
      <c r="AW127" s="292"/>
      <c r="AX127" s="292"/>
      <c r="AY127" s="292"/>
      <c r="AZ127" s="292"/>
      <c r="BA127" s="292"/>
      <c r="BB127" s="292"/>
      <c r="BC127" s="292"/>
      <c r="BD127" s="292"/>
      <c r="BE127" s="292"/>
      <c r="BF127" s="292"/>
      <c r="BG127" s="292"/>
      <c r="BH127" s="292"/>
      <c r="BI127" s="292"/>
      <c r="BJ127" s="292"/>
      <c r="BK127" s="292"/>
      <c r="BL127" s="292"/>
      <c r="BM127" s="292"/>
      <c r="BN127" s="292"/>
    </row>
    <row r="128" spans="1:66" s="20" customFormat="1" ht="21" customHeight="1">
      <c r="A128" s="262"/>
      <c r="B128" s="271"/>
      <c r="C128" s="271"/>
      <c r="D128" s="258"/>
      <c r="E128" s="258"/>
      <c r="F128" s="258"/>
      <c r="G128" s="258"/>
      <c r="H128" s="250"/>
      <c r="I128" s="256"/>
      <c r="J128" s="250"/>
      <c r="K128" s="250"/>
      <c r="L128" s="250"/>
      <c r="M128" s="272"/>
      <c r="N128" s="250"/>
      <c r="O128" s="250"/>
      <c r="P128" s="250"/>
      <c r="Q128" s="250"/>
      <c r="R128" s="250"/>
      <c r="S128" s="250"/>
      <c r="T128" s="250"/>
      <c r="U128" s="67" t="s">
        <v>424</v>
      </c>
      <c r="V128" s="109"/>
      <c r="W128" s="109"/>
      <c r="X128" s="39" t="s">
        <v>2</v>
      </c>
      <c r="Y128" s="35">
        <v>1</v>
      </c>
      <c r="Z128" s="62">
        <v>3850000</v>
      </c>
      <c r="AA128" s="79"/>
      <c r="AB128" s="80">
        <v>0</v>
      </c>
      <c r="AC128" s="35">
        <f t="shared" si="21"/>
        <v>0</v>
      </c>
      <c r="AD128" s="250"/>
      <c r="AE128" s="251"/>
      <c r="AF128" s="31"/>
      <c r="AG128" s="29"/>
      <c r="AH128" s="29"/>
      <c r="AI128" s="155"/>
      <c r="AJ128" s="155"/>
      <c r="AK128" s="292"/>
      <c r="AL128" s="292"/>
      <c r="AM128" s="292"/>
      <c r="AN128" s="292"/>
      <c r="AO128" s="292"/>
      <c r="AP128" s="292"/>
      <c r="AQ128" s="292"/>
      <c r="AR128" s="292"/>
      <c r="AS128" s="292"/>
      <c r="AT128" s="292"/>
      <c r="AU128" s="292"/>
      <c r="AV128" s="292"/>
      <c r="AW128" s="292"/>
      <c r="AX128" s="292"/>
      <c r="AY128" s="292"/>
      <c r="AZ128" s="292"/>
      <c r="BA128" s="292"/>
      <c r="BB128" s="292"/>
      <c r="BC128" s="292"/>
      <c r="BD128" s="292"/>
      <c r="BE128" s="292"/>
      <c r="BF128" s="292"/>
      <c r="BG128" s="292"/>
      <c r="BH128" s="292"/>
      <c r="BI128" s="292"/>
      <c r="BJ128" s="292"/>
      <c r="BK128" s="292"/>
      <c r="BL128" s="292"/>
      <c r="BM128" s="292"/>
      <c r="BN128" s="292"/>
    </row>
    <row r="129" spans="1:66" s="20" customFormat="1" ht="31.5">
      <c r="A129" s="262"/>
      <c r="B129" s="271"/>
      <c r="C129" s="271"/>
      <c r="D129" s="258"/>
      <c r="E129" s="258"/>
      <c r="F129" s="258"/>
      <c r="G129" s="258"/>
      <c r="H129" s="250"/>
      <c r="I129" s="256"/>
      <c r="J129" s="250"/>
      <c r="K129" s="250"/>
      <c r="L129" s="250"/>
      <c r="M129" s="272"/>
      <c r="N129" s="250"/>
      <c r="O129" s="250"/>
      <c r="P129" s="250"/>
      <c r="Q129" s="250"/>
      <c r="R129" s="250"/>
      <c r="S129" s="250"/>
      <c r="T129" s="250"/>
      <c r="U129" s="65" t="s">
        <v>468</v>
      </c>
      <c r="V129" s="109">
        <v>20</v>
      </c>
      <c r="W129" s="109">
        <f>(J123-12)/V129</f>
        <v>71.625</v>
      </c>
      <c r="X129" s="39" t="s">
        <v>2</v>
      </c>
      <c r="Y129" s="35">
        <v>15</v>
      </c>
      <c r="Z129" s="62"/>
      <c r="AA129" s="79"/>
      <c r="AB129" s="80"/>
      <c r="AC129" s="35"/>
      <c r="AD129" s="250"/>
      <c r="AE129" s="251"/>
      <c r="AF129" s="31"/>
      <c r="AG129" s="29"/>
      <c r="AH129" s="29"/>
      <c r="AI129" s="155"/>
      <c r="AJ129" s="155"/>
      <c r="AK129" s="292"/>
      <c r="AL129" s="292"/>
      <c r="AM129" s="292"/>
      <c r="AN129" s="292"/>
      <c r="AO129" s="292"/>
      <c r="AP129" s="292"/>
      <c r="AQ129" s="292"/>
      <c r="AR129" s="292"/>
      <c r="AS129" s="292"/>
      <c r="AT129" s="292"/>
      <c r="AU129" s="292"/>
      <c r="AV129" s="292"/>
      <c r="AW129" s="292"/>
      <c r="AX129" s="292"/>
      <c r="AY129" s="292"/>
      <c r="AZ129" s="292"/>
      <c r="BA129" s="292"/>
      <c r="BB129" s="292"/>
      <c r="BC129" s="292"/>
      <c r="BD129" s="292"/>
      <c r="BE129" s="292"/>
      <c r="BF129" s="292"/>
      <c r="BG129" s="292"/>
      <c r="BH129" s="292"/>
      <c r="BI129" s="292"/>
      <c r="BJ129" s="292"/>
      <c r="BK129" s="292"/>
      <c r="BL129" s="292"/>
      <c r="BM129" s="292"/>
      <c r="BN129" s="292"/>
    </row>
    <row r="130" spans="1:66" s="20" customFormat="1" ht="40.5" customHeight="1">
      <c r="A130" s="262"/>
      <c r="B130" s="271"/>
      <c r="C130" s="271"/>
      <c r="D130" s="258"/>
      <c r="E130" s="258"/>
      <c r="F130" s="258"/>
      <c r="G130" s="258"/>
      <c r="H130" s="250"/>
      <c r="I130" s="256"/>
      <c r="J130" s="250"/>
      <c r="K130" s="250"/>
      <c r="L130" s="250"/>
      <c r="M130" s="272"/>
      <c r="N130" s="250"/>
      <c r="O130" s="250"/>
      <c r="P130" s="250"/>
      <c r="Q130" s="250"/>
      <c r="R130" s="250"/>
      <c r="S130" s="250"/>
      <c r="T130" s="250"/>
      <c r="U130" s="67" t="s">
        <v>497</v>
      </c>
      <c r="V130" s="109"/>
      <c r="W130" s="109">
        <f>0.3*W129</f>
        <v>21.487500000000001</v>
      </c>
      <c r="X130" s="39" t="s">
        <v>2</v>
      </c>
      <c r="Y130" s="35">
        <v>15</v>
      </c>
      <c r="Z130" s="62">
        <v>2500000</v>
      </c>
      <c r="AA130" s="79"/>
      <c r="AB130" s="80">
        <v>0.3</v>
      </c>
      <c r="AC130" s="35">
        <f>Y130*Z130*AB130</f>
        <v>11250000</v>
      </c>
      <c r="AD130" s="250"/>
      <c r="AE130" s="251"/>
      <c r="AF130" s="31"/>
      <c r="AG130" s="29"/>
      <c r="AH130" s="29"/>
      <c r="AI130" s="155"/>
      <c r="AJ130" s="155"/>
      <c r="AK130" s="292"/>
      <c r="AL130" s="292"/>
      <c r="AM130" s="292"/>
      <c r="AN130" s="292"/>
      <c r="AO130" s="292"/>
      <c r="AP130" s="292"/>
      <c r="AQ130" s="292"/>
      <c r="AR130" s="292"/>
      <c r="AS130" s="292"/>
      <c r="AT130" s="292"/>
      <c r="AU130" s="292"/>
      <c r="AV130" s="292"/>
      <c r="AW130" s="292"/>
      <c r="AX130" s="292"/>
      <c r="AY130" s="292"/>
      <c r="AZ130" s="292"/>
      <c r="BA130" s="292"/>
      <c r="BB130" s="292"/>
      <c r="BC130" s="292"/>
      <c r="BD130" s="292"/>
      <c r="BE130" s="292"/>
      <c r="BF130" s="292"/>
      <c r="BG130" s="292"/>
      <c r="BH130" s="292"/>
      <c r="BI130" s="292"/>
      <c r="BJ130" s="292"/>
      <c r="BK130" s="292"/>
      <c r="BL130" s="292"/>
      <c r="BM130" s="292"/>
      <c r="BN130" s="292"/>
    </row>
    <row r="131" spans="1:66" s="20" customFormat="1" ht="31.5">
      <c r="A131" s="262"/>
      <c r="B131" s="271"/>
      <c r="C131" s="271"/>
      <c r="D131" s="258"/>
      <c r="E131" s="258"/>
      <c r="F131" s="258"/>
      <c r="G131" s="258"/>
      <c r="H131" s="250"/>
      <c r="I131" s="256"/>
      <c r="J131" s="250"/>
      <c r="K131" s="250"/>
      <c r="L131" s="250"/>
      <c r="M131" s="272"/>
      <c r="N131" s="250"/>
      <c r="O131" s="250"/>
      <c r="P131" s="250"/>
      <c r="Q131" s="250"/>
      <c r="R131" s="250"/>
      <c r="S131" s="250"/>
      <c r="T131" s="250"/>
      <c r="U131" s="65" t="s">
        <v>488</v>
      </c>
      <c r="V131" s="109">
        <v>4</v>
      </c>
      <c r="W131" s="109">
        <f>J123/V131</f>
        <v>361.125</v>
      </c>
      <c r="X131" s="39" t="s">
        <v>396</v>
      </c>
      <c r="Y131" s="35">
        <v>70</v>
      </c>
      <c r="Z131" s="62"/>
      <c r="AA131" s="84"/>
      <c r="AB131" s="68"/>
      <c r="AC131" s="35"/>
      <c r="AD131" s="250"/>
      <c r="AE131" s="251"/>
      <c r="AF131" s="31"/>
      <c r="AG131" s="29"/>
      <c r="AH131" s="29"/>
      <c r="AI131" s="155"/>
      <c r="AJ131" s="155"/>
      <c r="AK131" s="292"/>
      <c r="AL131" s="292"/>
      <c r="AM131" s="292"/>
      <c r="AN131" s="292"/>
      <c r="AO131" s="292"/>
      <c r="AP131" s="292"/>
      <c r="AQ131" s="292"/>
      <c r="AR131" s="292"/>
      <c r="AS131" s="292"/>
      <c r="AT131" s="292"/>
      <c r="AU131" s="292"/>
      <c r="AV131" s="292"/>
      <c r="AW131" s="292"/>
      <c r="AX131" s="292"/>
      <c r="AY131" s="292"/>
      <c r="AZ131" s="292"/>
      <c r="BA131" s="292"/>
      <c r="BB131" s="292"/>
      <c r="BC131" s="292"/>
      <c r="BD131" s="292"/>
      <c r="BE131" s="292"/>
      <c r="BF131" s="292"/>
      <c r="BG131" s="292"/>
      <c r="BH131" s="292"/>
      <c r="BI131" s="292"/>
      <c r="BJ131" s="292"/>
      <c r="BK131" s="292"/>
      <c r="BL131" s="292"/>
      <c r="BM131" s="292"/>
      <c r="BN131" s="292"/>
    </row>
    <row r="132" spans="1:66" s="20" customFormat="1" ht="21" customHeight="1">
      <c r="A132" s="262"/>
      <c r="B132" s="271"/>
      <c r="C132" s="271"/>
      <c r="D132" s="258"/>
      <c r="E132" s="258"/>
      <c r="F132" s="258"/>
      <c r="G132" s="258"/>
      <c r="H132" s="250"/>
      <c r="I132" s="256"/>
      <c r="J132" s="250"/>
      <c r="K132" s="250"/>
      <c r="L132" s="250"/>
      <c r="M132" s="272"/>
      <c r="N132" s="250"/>
      <c r="O132" s="250"/>
      <c r="P132" s="250"/>
      <c r="Q132" s="250"/>
      <c r="R132" s="250"/>
      <c r="S132" s="250"/>
      <c r="T132" s="250"/>
      <c r="U132" s="67" t="s">
        <v>486</v>
      </c>
      <c r="V132" s="109"/>
      <c r="W132" s="109">
        <f>0.3*W131</f>
        <v>108.33749999999999</v>
      </c>
      <c r="X132" s="39" t="s">
        <v>396</v>
      </c>
      <c r="Y132" s="35">
        <v>70</v>
      </c>
      <c r="Z132" s="62">
        <v>200000</v>
      </c>
      <c r="AA132" s="84"/>
      <c r="AB132" s="68">
        <v>0</v>
      </c>
      <c r="AC132" s="35">
        <f>Y132*Z132*AB132</f>
        <v>0</v>
      </c>
      <c r="AD132" s="250"/>
      <c r="AE132" s="251"/>
      <c r="AF132" s="31"/>
      <c r="AG132" s="29"/>
      <c r="AH132" s="29"/>
      <c r="AI132" s="155"/>
      <c r="AJ132" s="155"/>
      <c r="AK132" s="292"/>
      <c r="AL132" s="292"/>
      <c r="AM132" s="292"/>
      <c r="AN132" s="292"/>
      <c r="AO132" s="292"/>
      <c r="AP132" s="292"/>
      <c r="AQ132" s="292"/>
      <c r="AR132" s="292"/>
      <c r="AS132" s="292"/>
      <c r="AT132" s="292"/>
      <c r="AU132" s="292"/>
      <c r="AV132" s="292"/>
      <c r="AW132" s="292"/>
      <c r="AX132" s="292"/>
      <c r="AY132" s="292"/>
      <c r="AZ132" s="292"/>
      <c r="BA132" s="292"/>
      <c r="BB132" s="292"/>
      <c r="BC132" s="292"/>
      <c r="BD132" s="292"/>
      <c r="BE132" s="292"/>
      <c r="BF132" s="292"/>
      <c r="BG132" s="292"/>
      <c r="BH132" s="292"/>
      <c r="BI132" s="292"/>
      <c r="BJ132" s="292"/>
      <c r="BK132" s="292"/>
      <c r="BL132" s="292"/>
      <c r="BM132" s="292"/>
      <c r="BN132" s="292"/>
    </row>
    <row r="133" spans="1:66" s="20" customFormat="1" ht="35.25" customHeight="1">
      <c r="A133" s="262"/>
      <c r="B133" s="271"/>
      <c r="C133" s="271"/>
      <c r="D133" s="258"/>
      <c r="E133" s="258"/>
      <c r="F133" s="258"/>
      <c r="G133" s="258"/>
      <c r="H133" s="250"/>
      <c r="I133" s="256"/>
      <c r="J133" s="250"/>
      <c r="K133" s="250"/>
      <c r="L133" s="250"/>
      <c r="M133" s="272"/>
      <c r="N133" s="250"/>
      <c r="O133" s="250"/>
      <c r="P133" s="250"/>
      <c r="Q133" s="250"/>
      <c r="R133" s="250"/>
      <c r="S133" s="250"/>
      <c r="T133" s="250"/>
      <c r="U133" s="65" t="s">
        <v>431</v>
      </c>
      <c r="V133" s="109"/>
      <c r="W133" s="109"/>
      <c r="X133" s="39" t="s">
        <v>396</v>
      </c>
      <c r="Y133" s="35">
        <v>60</v>
      </c>
      <c r="Z133" s="62"/>
      <c r="AA133" s="84"/>
      <c r="AB133" s="68"/>
      <c r="AC133" s="35"/>
      <c r="AD133" s="250"/>
      <c r="AE133" s="251"/>
      <c r="AF133" s="31"/>
      <c r="AG133" s="29"/>
      <c r="AH133" s="29"/>
      <c r="AI133" s="155"/>
      <c r="AJ133" s="155"/>
      <c r="AK133" s="292"/>
      <c r="AL133" s="292"/>
      <c r="AM133" s="292"/>
      <c r="AN133" s="292"/>
      <c r="AO133" s="292"/>
      <c r="AP133" s="292"/>
      <c r="AQ133" s="292"/>
      <c r="AR133" s="292"/>
      <c r="AS133" s="292"/>
      <c r="AT133" s="292"/>
      <c r="AU133" s="292"/>
      <c r="AV133" s="292"/>
      <c r="AW133" s="292"/>
      <c r="AX133" s="292"/>
      <c r="AY133" s="292"/>
      <c r="AZ133" s="292"/>
      <c r="BA133" s="292"/>
      <c r="BB133" s="292"/>
      <c r="BC133" s="292"/>
      <c r="BD133" s="292"/>
      <c r="BE133" s="292"/>
      <c r="BF133" s="292"/>
      <c r="BG133" s="292"/>
      <c r="BH133" s="292"/>
      <c r="BI133" s="292"/>
      <c r="BJ133" s="292"/>
      <c r="BK133" s="292"/>
      <c r="BL133" s="292"/>
      <c r="BM133" s="292"/>
      <c r="BN133" s="292"/>
    </row>
    <row r="134" spans="1:66" s="20" customFormat="1" ht="21" customHeight="1">
      <c r="A134" s="262"/>
      <c r="B134" s="271"/>
      <c r="C134" s="271"/>
      <c r="D134" s="258"/>
      <c r="E134" s="258"/>
      <c r="F134" s="258"/>
      <c r="G134" s="258"/>
      <c r="H134" s="250"/>
      <c r="I134" s="256"/>
      <c r="J134" s="250"/>
      <c r="K134" s="250"/>
      <c r="L134" s="250"/>
      <c r="M134" s="272"/>
      <c r="N134" s="250"/>
      <c r="O134" s="250"/>
      <c r="P134" s="250"/>
      <c r="Q134" s="250"/>
      <c r="R134" s="250"/>
      <c r="S134" s="250"/>
      <c r="T134" s="250"/>
      <c r="U134" s="67" t="s">
        <v>486</v>
      </c>
      <c r="V134" s="109"/>
      <c r="W134" s="109"/>
      <c r="X134" s="39" t="s">
        <v>396</v>
      </c>
      <c r="Y134" s="35">
        <v>60</v>
      </c>
      <c r="Z134" s="62">
        <v>150000</v>
      </c>
      <c r="AA134" s="84"/>
      <c r="AB134" s="68">
        <v>0</v>
      </c>
      <c r="AC134" s="35">
        <f>Y134*Z134*AB134</f>
        <v>0</v>
      </c>
      <c r="AD134" s="250"/>
      <c r="AE134" s="251"/>
      <c r="AF134" s="31"/>
      <c r="AG134" s="29"/>
      <c r="AH134" s="29"/>
      <c r="AI134" s="155"/>
      <c r="AJ134" s="155"/>
      <c r="AK134" s="292"/>
      <c r="AL134" s="292"/>
      <c r="AM134" s="292"/>
      <c r="AN134" s="292"/>
      <c r="AO134" s="292"/>
      <c r="AP134" s="292"/>
      <c r="AQ134" s="292"/>
      <c r="AR134" s="292"/>
      <c r="AS134" s="292"/>
      <c r="AT134" s="292"/>
      <c r="AU134" s="292"/>
      <c r="AV134" s="292"/>
      <c r="AW134" s="292"/>
      <c r="AX134" s="292"/>
      <c r="AY134" s="292"/>
      <c r="AZ134" s="292"/>
      <c r="BA134" s="292"/>
      <c r="BB134" s="292"/>
      <c r="BC134" s="292"/>
      <c r="BD134" s="292"/>
      <c r="BE134" s="292"/>
      <c r="BF134" s="292"/>
      <c r="BG134" s="292"/>
      <c r="BH134" s="292"/>
      <c r="BI134" s="292"/>
      <c r="BJ134" s="292"/>
      <c r="BK134" s="292"/>
      <c r="BL134" s="292"/>
      <c r="BM134" s="292"/>
      <c r="BN134" s="292"/>
    </row>
    <row r="135" spans="1:66" s="20" customFormat="1" ht="56.25" customHeight="1">
      <c r="A135" s="262"/>
      <c r="B135" s="271"/>
      <c r="C135" s="271"/>
      <c r="D135" s="258"/>
      <c r="E135" s="258"/>
      <c r="F135" s="258"/>
      <c r="G135" s="258"/>
      <c r="H135" s="250"/>
      <c r="I135" s="256"/>
      <c r="J135" s="250"/>
      <c r="K135" s="250"/>
      <c r="L135" s="250"/>
      <c r="M135" s="272"/>
      <c r="N135" s="250"/>
      <c r="O135" s="250"/>
      <c r="P135" s="250"/>
      <c r="Q135" s="250"/>
      <c r="R135" s="250"/>
      <c r="S135" s="250"/>
      <c r="T135" s="250"/>
      <c r="U135" s="69" t="s">
        <v>483</v>
      </c>
      <c r="V135" s="109"/>
      <c r="W135" s="109"/>
      <c r="X135" s="39" t="s">
        <v>6</v>
      </c>
      <c r="Y135" s="61">
        <v>140</v>
      </c>
      <c r="Z135" s="62"/>
      <c r="AA135" s="84"/>
      <c r="AB135" s="68"/>
      <c r="AC135" s="35"/>
      <c r="AD135" s="250"/>
      <c r="AE135" s="251"/>
      <c r="AF135" s="31"/>
      <c r="AG135" s="29"/>
      <c r="AH135" s="29"/>
      <c r="AI135" s="155"/>
      <c r="AJ135" s="155"/>
      <c r="AK135" s="292"/>
      <c r="AL135" s="292"/>
      <c r="AM135" s="292"/>
      <c r="AN135" s="292"/>
      <c r="AO135" s="292"/>
      <c r="AP135" s="292"/>
      <c r="AQ135" s="292"/>
      <c r="AR135" s="292"/>
      <c r="AS135" s="292"/>
      <c r="AT135" s="292"/>
      <c r="AU135" s="292"/>
      <c r="AV135" s="292"/>
      <c r="AW135" s="292"/>
      <c r="AX135" s="292"/>
      <c r="AY135" s="292"/>
      <c r="AZ135" s="292"/>
      <c r="BA135" s="292"/>
      <c r="BB135" s="292"/>
      <c r="BC135" s="292"/>
      <c r="BD135" s="292"/>
      <c r="BE135" s="292"/>
      <c r="BF135" s="292"/>
      <c r="BG135" s="292"/>
      <c r="BH135" s="292"/>
      <c r="BI135" s="292"/>
      <c r="BJ135" s="292"/>
      <c r="BK135" s="292"/>
      <c r="BL135" s="292"/>
      <c r="BM135" s="292"/>
      <c r="BN135" s="292"/>
    </row>
    <row r="136" spans="1:66" s="20" customFormat="1" ht="22.5" customHeight="1">
      <c r="A136" s="262"/>
      <c r="B136" s="271"/>
      <c r="C136" s="271"/>
      <c r="D136" s="258"/>
      <c r="E136" s="258"/>
      <c r="F136" s="258"/>
      <c r="G136" s="258"/>
      <c r="H136" s="250"/>
      <c r="I136" s="256"/>
      <c r="J136" s="250"/>
      <c r="K136" s="250"/>
      <c r="L136" s="250"/>
      <c r="M136" s="272"/>
      <c r="N136" s="250"/>
      <c r="O136" s="250"/>
      <c r="P136" s="250"/>
      <c r="Q136" s="250"/>
      <c r="R136" s="250"/>
      <c r="S136" s="250"/>
      <c r="T136" s="250"/>
      <c r="U136" s="69" t="s">
        <v>576</v>
      </c>
      <c r="V136" s="109"/>
      <c r="W136" s="109"/>
      <c r="X136" s="39" t="s">
        <v>6</v>
      </c>
      <c r="Y136" s="61">
        <v>240</v>
      </c>
      <c r="Z136" s="62"/>
      <c r="AA136" s="84"/>
      <c r="AB136" s="68"/>
      <c r="AC136" s="35"/>
      <c r="AD136" s="250"/>
      <c r="AE136" s="251"/>
      <c r="AF136" s="31"/>
      <c r="AG136" s="29"/>
      <c r="AH136" s="29"/>
      <c r="AI136" s="155"/>
      <c r="AJ136" s="155"/>
      <c r="AK136" s="292"/>
      <c r="AL136" s="292"/>
      <c r="AM136" s="292"/>
      <c r="AN136" s="292"/>
      <c r="AO136" s="292"/>
      <c r="AP136" s="292"/>
      <c r="AQ136" s="292"/>
      <c r="AR136" s="292"/>
      <c r="AS136" s="292"/>
      <c r="AT136" s="292"/>
      <c r="AU136" s="292"/>
      <c r="AV136" s="292"/>
      <c r="AW136" s="292"/>
      <c r="AX136" s="292"/>
      <c r="AY136" s="292"/>
      <c r="AZ136" s="292"/>
      <c r="BA136" s="292"/>
      <c r="BB136" s="292"/>
      <c r="BC136" s="292"/>
      <c r="BD136" s="292"/>
      <c r="BE136" s="292"/>
      <c r="BF136" s="292"/>
      <c r="BG136" s="292"/>
      <c r="BH136" s="292"/>
      <c r="BI136" s="292"/>
      <c r="BJ136" s="292"/>
      <c r="BK136" s="292"/>
      <c r="BL136" s="292"/>
      <c r="BM136" s="292"/>
      <c r="BN136" s="292"/>
    </row>
    <row r="137" spans="1:66" s="20" customFormat="1" ht="22.5" customHeight="1">
      <c r="A137" s="262"/>
      <c r="B137" s="271"/>
      <c r="C137" s="271"/>
      <c r="D137" s="258"/>
      <c r="E137" s="258"/>
      <c r="F137" s="258"/>
      <c r="G137" s="258"/>
      <c r="H137" s="250"/>
      <c r="I137" s="256"/>
      <c r="J137" s="250"/>
      <c r="K137" s="250"/>
      <c r="L137" s="250"/>
      <c r="M137" s="272"/>
      <c r="N137" s="250"/>
      <c r="O137" s="250"/>
      <c r="P137" s="250"/>
      <c r="Q137" s="250"/>
      <c r="R137" s="250"/>
      <c r="S137" s="250"/>
      <c r="T137" s="250"/>
      <c r="U137" s="49" t="s">
        <v>443</v>
      </c>
      <c r="V137" s="109"/>
      <c r="W137" s="109"/>
      <c r="X137" s="39" t="s">
        <v>399</v>
      </c>
      <c r="Y137" s="61">
        <v>2</v>
      </c>
      <c r="Z137" s="62"/>
      <c r="AA137" s="84"/>
      <c r="AB137" s="68"/>
      <c r="AC137" s="35"/>
      <c r="AD137" s="250"/>
      <c r="AE137" s="251"/>
      <c r="AF137" s="31"/>
      <c r="AG137" s="29"/>
      <c r="AH137" s="29"/>
      <c r="AI137" s="155"/>
      <c r="AJ137" s="155"/>
      <c r="AK137" s="292"/>
      <c r="AL137" s="292"/>
      <c r="AM137" s="292"/>
      <c r="AN137" s="292"/>
      <c r="AO137" s="292"/>
      <c r="AP137" s="292"/>
      <c r="AQ137" s="292"/>
      <c r="AR137" s="292"/>
      <c r="AS137" s="292"/>
      <c r="AT137" s="292"/>
      <c r="AU137" s="292"/>
      <c r="AV137" s="292"/>
      <c r="AW137" s="292"/>
      <c r="AX137" s="292"/>
      <c r="AY137" s="292"/>
      <c r="AZ137" s="292"/>
      <c r="BA137" s="292"/>
      <c r="BB137" s="292"/>
      <c r="BC137" s="292"/>
      <c r="BD137" s="292"/>
      <c r="BE137" s="292"/>
      <c r="BF137" s="292"/>
      <c r="BG137" s="292"/>
      <c r="BH137" s="292"/>
      <c r="BI137" s="292"/>
      <c r="BJ137" s="292"/>
      <c r="BK137" s="292"/>
      <c r="BL137" s="292"/>
      <c r="BM137" s="292"/>
      <c r="BN137" s="292"/>
    </row>
    <row r="138" spans="1:66" s="20" customFormat="1" ht="47.25" customHeight="1">
      <c r="A138" s="262"/>
      <c r="B138" s="271"/>
      <c r="C138" s="271"/>
      <c r="D138" s="258"/>
      <c r="E138" s="258"/>
      <c r="F138" s="258"/>
      <c r="G138" s="258"/>
      <c r="H138" s="250"/>
      <c r="I138" s="256"/>
      <c r="J138" s="250"/>
      <c r="K138" s="250"/>
      <c r="L138" s="250"/>
      <c r="M138" s="272"/>
      <c r="N138" s="250"/>
      <c r="O138" s="250"/>
      <c r="P138" s="250"/>
      <c r="Q138" s="250"/>
      <c r="R138" s="250"/>
      <c r="S138" s="250"/>
      <c r="T138" s="250"/>
      <c r="U138" s="49" t="s">
        <v>577</v>
      </c>
      <c r="V138" s="109"/>
      <c r="W138" s="109"/>
      <c r="X138" s="39" t="s">
        <v>414</v>
      </c>
      <c r="Y138" s="61">
        <v>18</v>
      </c>
      <c r="Z138" s="62"/>
      <c r="AA138" s="84"/>
      <c r="AB138" s="68"/>
      <c r="AC138" s="35"/>
      <c r="AD138" s="250"/>
      <c r="AE138" s="251"/>
      <c r="AF138" s="31"/>
      <c r="AG138" s="29"/>
      <c r="AH138" s="29"/>
      <c r="AI138" s="155"/>
      <c r="AJ138" s="155"/>
      <c r="AK138" s="292"/>
      <c r="AL138" s="292"/>
      <c r="AM138" s="292"/>
      <c r="AN138" s="292"/>
      <c r="AO138" s="292"/>
      <c r="AP138" s="292"/>
      <c r="AQ138" s="292"/>
      <c r="AR138" s="292"/>
      <c r="AS138" s="292"/>
      <c r="AT138" s="292"/>
      <c r="AU138" s="292"/>
      <c r="AV138" s="292"/>
      <c r="AW138" s="292"/>
      <c r="AX138" s="292"/>
      <c r="AY138" s="292"/>
      <c r="AZ138" s="292"/>
      <c r="BA138" s="292"/>
      <c r="BB138" s="292"/>
      <c r="BC138" s="292"/>
      <c r="BD138" s="292"/>
      <c r="BE138" s="292"/>
      <c r="BF138" s="292"/>
      <c r="BG138" s="292"/>
      <c r="BH138" s="292"/>
      <c r="BI138" s="292"/>
      <c r="BJ138" s="292"/>
      <c r="BK138" s="292"/>
      <c r="BL138" s="292"/>
      <c r="BM138" s="292"/>
      <c r="BN138" s="292"/>
    </row>
    <row r="139" spans="1:66" s="20" customFormat="1" ht="47.25" customHeight="1">
      <c r="A139" s="262"/>
      <c r="B139" s="271"/>
      <c r="C139" s="271"/>
      <c r="D139" s="258"/>
      <c r="E139" s="258"/>
      <c r="F139" s="258"/>
      <c r="G139" s="258"/>
      <c r="H139" s="250"/>
      <c r="I139" s="256"/>
      <c r="J139" s="250"/>
      <c r="K139" s="250"/>
      <c r="L139" s="250"/>
      <c r="M139" s="272"/>
      <c r="N139" s="250"/>
      <c r="O139" s="250"/>
      <c r="P139" s="250"/>
      <c r="Q139" s="250"/>
      <c r="R139" s="250"/>
      <c r="S139" s="250"/>
      <c r="T139" s="250"/>
      <c r="U139" s="69" t="s">
        <v>578</v>
      </c>
      <c r="V139" s="109"/>
      <c r="W139" s="109"/>
      <c r="X139" s="39" t="s">
        <v>7</v>
      </c>
      <c r="Y139" s="61">
        <v>100</v>
      </c>
      <c r="Z139" s="62"/>
      <c r="AA139" s="79"/>
      <c r="AB139" s="80"/>
      <c r="AC139" s="35"/>
      <c r="AD139" s="250"/>
      <c r="AE139" s="251"/>
      <c r="AF139" s="31"/>
      <c r="AG139" s="29"/>
      <c r="AH139" s="29"/>
      <c r="AI139" s="155"/>
      <c r="AJ139" s="155"/>
      <c r="AK139" s="292"/>
      <c r="AL139" s="292"/>
      <c r="AM139" s="292"/>
      <c r="AN139" s="292"/>
      <c r="AO139" s="292"/>
      <c r="AP139" s="292"/>
      <c r="AQ139" s="292"/>
      <c r="AR139" s="292"/>
      <c r="AS139" s="292"/>
      <c r="AT139" s="292"/>
      <c r="AU139" s="292"/>
      <c r="AV139" s="292"/>
      <c r="AW139" s="292"/>
      <c r="AX139" s="292"/>
      <c r="AY139" s="292"/>
      <c r="AZ139" s="292"/>
      <c r="BA139" s="292"/>
      <c r="BB139" s="292"/>
      <c r="BC139" s="292"/>
      <c r="BD139" s="292"/>
      <c r="BE139" s="292"/>
      <c r="BF139" s="292"/>
      <c r="BG139" s="292"/>
      <c r="BH139" s="292"/>
      <c r="BI139" s="292"/>
      <c r="BJ139" s="292"/>
      <c r="BK139" s="292"/>
      <c r="BL139" s="292"/>
      <c r="BM139" s="292"/>
      <c r="BN139" s="292"/>
    </row>
    <row r="140" spans="1:66" s="19" customFormat="1" ht="23.25" customHeight="1">
      <c r="A140" s="262">
        <v>17</v>
      </c>
      <c r="B140" s="263" t="s">
        <v>548</v>
      </c>
      <c r="C140" s="258" t="s">
        <v>33</v>
      </c>
      <c r="D140" s="258">
        <v>64</v>
      </c>
      <c r="E140" s="258">
        <v>816</v>
      </c>
      <c r="F140" s="258">
        <v>183.6</v>
      </c>
      <c r="G140" s="258" t="s">
        <v>28</v>
      </c>
      <c r="H140" s="250">
        <v>180</v>
      </c>
      <c r="I140" s="256">
        <f>F140-H140</f>
        <v>3.5999999999999943</v>
      </c>
      <c r="J140" s="250">
        <v>180</v>
      </c>
      <c r="K140" s="250">
        <v>1080</v>
      </c>
      <c r="L140" s="258"/>
      <c r="M140" s="272">
        <f>J140/K140*100</f>
        <v>16.666666666666664</v>
      </c>
      <c r="N140" s="250">
        <v>3</v>
      </c>
      <c r="O140" s="250">
        <v>7</v>
      </c>
      <c r="P140" s="250">
        <v>80000</v>
      </c>
      <c r="Q140" s="250">
        <f>P140*J140</f>
        <v>14400000</v>
      </c>
      <c r="R140" s="250">
        <f>Q140*3</f>
        <v>43200000</v>
      </c>
      <c r="S140" s="250">
        <f>N140*O140*17000*30</f>
        <v>10710000</v>
      </c>
      <c r="T140" s="250">
        <f>SUM(Q140:S146)</f>
        <v>68310000</v>
      </c>
      <c r="U140" s="82" t="s">
        <v>446</v>
      </c>
      <c r="V140" s="109"/>
      <c r="W140" s="109"/>
      <c r="X140" s="39" t="s">
        <v>0</v>
      </c>
      <c r="Y140" s="83">
        <v>135</v>
      </c>
      <c r="Z140" s="62">
        <v>180000</v>
      </c>
      <c r="AA140" s="84"/>
      <c r="AB140" s="68">
        <v>1</v>
      </c>
      <c r="AC140" s="35">
        <f>Y140*Z140*AB140</f>
        <v>24300000</v>
      </c>
      <c r="AD140" s="250">
        <f>SUM(AC140:AC146)</f>
        <v>26800000</v>
      </c>
      <c r="AE140" s="251">
        <f>T140+AD140</f>
        <v>95110000</v>
      </c>
      <c r="AF140" s="31"/>
      <c r="AG140" s="81"/>
      <c r="AH140" s="81"/>
      <c r="AI140" s="153"/>
      <c r="AJ140" s="153"/>
      <c r="AK140" s="153"/>
      <c r="AL140" s="153"/>
      <c r="AM140" s="153"/>
      <c r="AN140" s="153"/>
      <c r="AO140" s="153"/>
      <c r="AP140" s="153"/>
      <c r="AQ140" s="153"/>
      <c r="AR140" s="153"/>
      <c r="AS140" s="153"/>
      <c r="AT140" s="153"/>
      <c r="AU140" s="153"/>
      <c r="AV140" s="153"/>
      <c r="AW140" s="153"/>
      <c r="AX140" s="153"/>
      <c r="AY140" s="153"/>
      <c r="AZ140" s="153"/>
      <c r="BA140" s="153"/>
      <c r="BB140" s="153"/>
      <c r="BC140" s="153"/>
      <c r="BD140" s="153"/>
      <c r="BE140" s="153"/>
      <c r="BF140" s="153"/>
      <c r="BG140" s="153"/>
      <c r="BH140" s="153"/>
      <c r="BI140" s="153"/>
      <c r="BJ140" s="153"/>
      <c r="BK140" s="153"/>
      <c r="BL140" s="153"/>
      <c r="BM140" s="153"/>
      <c r="BN140" s="153"/>
    </row>
    <row r="141" spans="1:66" s="19" customFormat="1" ht="36" customHeight="1">
      <c r="A141" s="262"/>
      <c r="B141" s="263"/>
      <c r="C141" s="258"/>
      <c r="D141" s="258"/>
      <c r="E141" s="258"/>
      <c r="F141" s="258"/>
      <c r="G141" s="258"/>
      <c r="H141" s="250"/>
      <c r="I141" s="256"/>
      <c r="J141" s="250"/>
      <c r="K141" s="250"/>
      <c r="L141" s="258"/>
      <c r="M141" s="272"/>
      <c r="N141" s="250"/>
      <c r="O141" s="250"/>
      <c r="P141" s="250"/>
      <c r="Q141" s="250"/>
      <c r="R141" s="250"/>
      <c r="S141" s="250"/>
      <c r="T141" s="250"/>
      <c r="U141" s="65" t="s">
        <v>449</v>
      </c>
      <c r="V141" s="109">
        <v>4</v>
      </c>
      <c r="W141" s="109">
        <f>(J140-Y140)/V141</f>
        <v>11.25</v>
      </c>
      <c r="X141" s="39" t="s">
        <v>396</v>
      </c>
      <c r="Y141" s="35">
        <v>20</v>
      </c>
      <c r="Z141" s="62"/>
      <c r="AA141" s="84"/>
      <c r="AB141" s="68"/>
      <c r="AC141" s="35"/>
      <c r="AD141" s="250"/>
      <c r="AE141" s="251"/>
      <c r="AF141" s="31" t="s">
        <v>398</v>
      </c>
      <c r="AG141" s="81"/>
      <c r="AH141" s="81"/>
      <c r="AI141" s="153"/>
      <c r="AJ141" s="153"/>
      <c r="AK141" s="153"/>
      <c r="AL141" s="153"/>
      <c r="AM141" s="153"/>
      <c r="AN141" s="153"/>
      <c r="AO141" s="153"/>
      <c r="AP141" s="153"/>
      <c r="AQ141" s="153"/>
      <c r="AR141" s="153"/>
      <c r="AS141" s="153"/>
      <c r="AT141" s="153"/>
      <c r="AU141" s="153"/>
      <c r="AV141" s="153"/>
      <c r="AW141" s="153"/>
      <c r="AX141" s="153"/>
      <c r="AY141" s="153"/>
      <c r="AZ141" s="153"/>
      <c r="BA141" s="153"/>
      <c r="BB141" s="153"/>
      <c r="BC141" s="153"/>
      <c r="BD141" s="153"/>
      <c r="BE141" s="153"/>
      <c r="BF141" s="153"/>
      <c r="BG141" s="153"/>
      <c r="BH141" s="153"/>
      <c r="BI141" s="153"/>
      <c r="BJ141" s="153"/>
      <c r="BK141" s="153"/>
      <c r="BL141" s="153"/>
      <c r="BM141" s="153"/>
      <c r="BN141" s="153"/>
    </row>
    <row r="142" spans="1:66" s="19" customFormat="1" ht="21.75" customHeight="1">
      <c r="A142" s="262"/>
      <c r="B142" s="263"/>
      <c r="C142" s="258"/>
      <c r="D142" s="258"/>
      <c r="E142" s="258"/>
      <c r="F142" s="258"/>
      <c r="G142" s="258"/>
      <c r="H142" s="250"/>
      <c r="I142" s="256"/>
      <c r="J142" s="250"/>
      <c r="K142" s="250"/>
      <c r="L142" s="258"/>
      <c r="M142" s="272"/>
      <c r="N142" s="250"/>
      <c r="O142" s="250"/>
      <c r="P142" s="250"/>
      <c r="Q142" s="250"/>
      <c r="R142" s="250"/>
      <c r="S142" s="250"/>
      <c r="T142" s="250"/>
      <c r="U142" s="67" t="s">
        <v>421</v>
      </c>
      <c r="V142" s="109"/>
      <c r="W142" s="109"/>
      <c r="X142" s="39" t="s">
        <v>396</v>
      </c>
      <c r="Y142" s="35">
        <v>11</v>
      </c>
      <c r="Z142" s="62">
        <v>200000</v>
      </c>
      <c r="AA142" s="84"/>
      <c r="AB142" s="68">
        <v>1</v>
      </c>
      <c r="AC142" s="35">
        <f>Y142*Z142*AB142</f>
        <v>2200000</v>
      </c>
      <c r="AD142" s="250"/>
      <c r="AE142" s="251"/>
      <c r="AF142" s="31"/>
      <c r="AG142" s="81"/>
      <c r="AH142" s="81"/>
      <c r="AI142" s="153"/>
      <c r="AJ142" s="153"/>
      <c r="AK142" s="153"/>
      <c r="AL142" s="153"/>
      <c r="AM142" s="153"/>
      <c r="AN142" s="153"/>
      <c r="AO142" s="153"/>
      <c r="AP142" s="153"/>
      <c r="AQ142" s="153"/>
      <c r="AR142" s="153"/>
      <c r="AS142" s="153"/>
      <c r="AT142" s="153"/>
      <c r="AU142" s="153"/>
      <c r="AV142" s="153"/>
      <c r="AW142" s="153"/>
      <c r="AX142" s="153"/>
      <c r="AY142" s="153"/>
      <c r="AZ142" s="153"/>
      <c r="BA142" s="153"/>
      <c r="BB142" s="153"/>
      <c r="BC142" s="153"/>
      <c r="BD142" s="153"/>
      <c r="BE142" s="153"/>
      <c r="BF142" s="153"/>
      <c r="BG142" s="153"/>
      <c r="BH142" s="153"/>
      <c r="BI142" s="153"/>
      <c r="BJ142" s="153"/>
      <c r="BK142" s="153"/>
      <c r="BL142" s="153"/>
      <c r="BM142" s="153"/>
      <c r="BN142" s="153"/>
    </row>
    <row r="143" spans="1:66" s="19" customFormat="1" ht="21.75" customHeight="1">
      <c r="A143" s="262"/>
      <c r="B143" s="263"/>
      <c r="C143" s="258"/>
      <c r="D143" s="258"/>
      <c r="E143" s="258"/>
      <c r="F143" s="258"/>
      <c r="G143" s="258"/>
      <c r="H143" s="250"/>
      <c r="I143" s="256"/>
      <c r="J143" s="250"/>
      <c r="K143" s="250"/>
      <c r="L143" s="258"/>
      <c r="M143" s="272"/>
      <c r="N143" s="250"/>
      <c r="O143" s="250"/>
      <c r="P143" s="250"/>
      <c r="Q143" s="250"/>
      <c r="R143" s="250"/>
      <c r="S143" s="250"/>
      <c r="T143" s="250"/>
      <c r="U143" s="67" t="s">
        <v>423</v>
      </c>
      <c r="V143" s="109"/>
      <c r="W143" s="109">
        <f>0.3*W141</f>
        <v>3.375</v>
      </c>
      <c r="X143" s="39" t="s">
        <v>396</v>
      </c>
      <c r="Y143" s="35">
        <v>3</v>
      </c>
      <c r="Z143" s="62">
        <v>200000</v>
      </c>
      <c r="AA143" s="79"/>
      <c r="AB143" s="80">
        <v>0.5</v>
      </c>
      <c r="AC143" s="35">
        <f t="shared" ref="AC143:AC144" si="22">Y143*Z143*AB143</f>
        <v>300000</v>
      </c>
      <c r="AD143" s="250"/>
      <c r="AE143" s="251"/>
      <c r="AF143" s="31"/>
      <c r="AG143" s="81"/>
      <c r="AH143" s="81"/>
      <c r="AI143" s="153"/>
      <c r="AJ143" s="153"/>
      <c r="AK143" s="153"/>
      <c r="AL143" s="153"/>
      <c r="AM143" s="153"/>
      <c r="AN143" s="153"/>
      <c r="AO143" s="153"/>
      <c r="AP143" s="153"/>
      <c r="AQ143" s="153"/>
      <c r="AR143" s="153"/>
      <c r="AS143" s="153"/>
      <c r="AT143" s="153"/>
      <c r="AU143" s="153"/>
      <c r="AV143" s="153"/>
      <c r="AW143" s="153"/>
      <c r="AX143" s="153"/>
      <c r="AY143" s="153"/>
      <c r="AZ143" s="153"/>
      <c r="BA143" s="153"/>
      <c r="BB143" s="153"/>
      <c r="BC143" s="153"/>
      <c r="BD143" s="153"/>
      <c r="BE143" s="153"/>
      <c r="BF143" s="153"/>
      <c r="BG143" s="153"/>
      <c r="BH143" s="153"/>
      <c r="BI143" s="153"/>
      <c r="BJ143" s="153"/>
      <c r="BK143" s="153"/>
      <c r="BL143" s="153"/>
      <c r="BM143" s="153"/>
      <c r="BN143" s="153"/>
    </row>
    <row r="144" spans="1:66" s="19" customFormat="1" ht="21.75" customHeight="1">
      <c r="A144" s="262"/>
      <c r="B144" s="263"/>
      <c r="C144" s="258"/>
      <c r="D144" s="258"/>
      <c r="E144" s="258"/>
      <c r="F144" s="258"/>
      <c r="G144" s="258"/>
      <c r="H144" s="250"/>
      <c r="I144" s="256"/>
      <c r="J144" s="250"/>
      <c r="K144" s="250"/>
      <c r="L144" s="258"/>
      <c r="M144" s="272"/>
      <c r="N144" s="250"/>
      <c r="O144" s="250"/>
      <c r="P144" s="250"/>
      <c r="Q144" s="250"/>
      <c r="R144" s="250"/>
      <c r="S144" s="250"/>
      <c r="T144" s="250"/>
      <c r="U144" s="67" t="s">
        <v>424</v>
      </c>
      <c r="V144" s="109"/>
      <c r="W144" s="109"/>
      <c r="X144" s="39" t="s">
        <v>396</v>
      </c>
      <c r="Y144" s="35">
        <f>Y142-Y143</f>
        <v>8</v>
      </c>
      <c r="Z144" s="62">
        <v>200000</v>
      </c>
      <c r="AA144" s="79"/>
      <c r="AB144" s="80">
        <v>0</v>
      </c>
      <c r="AC144" s="35">
        <f t="shared" si="22"/>
        <v>0</v>
      </c>
      <c r="AD144" s="250"/>
      <c r="AE144" s="251"/>
      <c r="AF144" s="31"/>
      <c r="AG144" s="81"/>
      <c r="AH144" s="81"/>
      <c r="AI144" s="153"/>
      <c r="AJ144" s="153"/>
      <c r="AK144" s="153"/>
      <c r="AL144" s="153"/>
      <c r="AM144" s="153"/>
      <c r="AN144" s="153"/>
      <c r="AO144" s="153"/>
      <c r="AP144" s="153"/>
      <c r="AQ144" s="153"/>
      <c r="AR144" s="153"/>
      <c r="AS144" s="153"/>
      <c r="AT144" s="153"/>
      <c r="AU144" s="153"/>
      <c r="AV144" s="153"/>
      <c r="AW144" s="153"/>
      <c r="AX144" s="153"/>
      <c r="AY144" s="153"/>
      <c r="AZ144" s="153"/>
      <c r="BA144" s="153"/>
      <c r="BB144" s="153"/>
      <c r="BC144" s="153"/>
      <c r="BD144" s="153"/>
      <c r="BE144" s="153"/>
      <c r="BF144" s="153"/>
      <c r="BG144" s="153"/>
      <c r="BH144" s="153"/>
      <c r="BI144" s="153"/>
      <c r="BJ144" s="153"/>
      <c r="BK144" s="153"/>
      <c r="BL144" s="153"/>
      <c r="BM144" s="153"/>
      <c r="BN144" s="153"/>
    </row>
    <row r="145" spans="1:66" s="19" customFormat="1" ht="34.5" customHeight="1">
      <c r="A145" s="262"/>
      <c r="B145" s="263"/>
      <c r="C145" s="258"/>
      <c r="D145" s="258"/>
      <c r="E145" s="258"/>
      <c r="F145" s="258"/>
      <c r="G145" s="258"/>
      <c r="H145" s="250"/>
      <c r="I145" s="256"/>
      <c r="J145" s="250"/>
      <c r="K145" s="250"/>
      <c r="L145" s="258"/>
      <c r="M145" s="272"/>
      <c r="N145" s="250"/>
      <c r="O145" s="250"/>
      <c r="P145" s="250"/>
      <c r="Q145" s="250"/>
      <c r="R145" s="250"/>
      <c r="S145" s="250"/>
      <c r="T145" s="250"/>
      <c r="U145" s="65" t="s">
        <v>450</v>
      </c>
      <c r="V145" s="109"/>
      <c r="W145" s="109"/>
      <c r="X145" s="39" t="s">
        <v>396</v>
      </c>
      <c r="Y145" s="35">
        <v>5</v>
      </c>
      <c r="Z145" s="62"/>
      <c r="AA145" s="84"/>
      <c r="AB145" s="68"/>
      <c r="AC145" s="35"/>
      <c r="AD145" s="250"/>
      <c r="AE145" s="251"/>
      <c r="AF145" s="31"/>
      <c r="AG145" s="81"/>
      <c r="AH145" s="81"/>
      <c r="AI145" s="153"/>
      <c r="AJ145" s="153"/>
      <c r="AK145" s="153"/>
      <c r="AL145" s="153"/>
      <c r="AM145" s="153"/>
      <c r="AN145" s="153"/>
      <c r="AO145" s="153"/>
      <c r="AP145" s="153"/>
      <c r="AQ145" s="153"/>
      <c r="AR145" s="153"/>
      <c r="AS145" s="153"/>
      <c r="AT145" s="153"/>
      <c r="AU145" s="153"/>
      <c r="AV145" s="153"/>
      <c r="AW145" s="153"/>
      <c r="AX145" s="153"/>
      <c r="AY145" s="153"/>
      <c r="AZ145" s="153"/>
      <c r="BA145" s="153"/>
      <c r="BB145" s="153"/>
      <c r="BC145" s="153"/>
      <c r="BD145" s="153"/>
      <c r="BE145" s="153"/>
      <c r="BF145" s="153"/>
      <c r="BG145" s="153"/>
      <c r="BH145" s="153"/>
      <c r="BI145" s="153"/>
      <c r="BJ145" s="153"/>
      <c r="BK145" s="153"/>
      <c r="BL145" s="153"/>
      <c r="BM145" s="153"/>
      <c r="BN145" s="153"/>
    </row>
    <row r="146" spans="1:66" s="19" customFormat="1" ht="21.75" customHeight="1">
      <c r="A146" s="262"/>
      <c r="B146" s="263"/>
      <c r="C146" s="258"/>
      <c r="D146" s="258"/>
      <c r="E146" s="258"/>
      <c r="F146" s="258"/>
      <c r="G146" s="258"/>
      <c r="H146" s="250"/>
      <c r="I146" s="256"/>
      <c r="J146" s="250"/>
      <c r="K146" s="250"/>
      <c r="L146" s="258"/>
      <c r="M146" s="272"/>
      <c r="N146" s="250"/>
      <c r="O146" s="250"/>
      <c r="P146" s="250"/>
      <c r="Q146" s="250"/>
      <c r="R146" s="250"/>
      <c r="S146" s="250"/>
      <c r="T146" s="250"/>
      <c r="U146" s="67" t="s">
        <v>486</v>
      </c>
      <c r="V146" s="109"/>
      <c r="W146" s="109"/>
      <c r="X146" s="39" t="s">
        <v>396</v>
      </c>
      <c r="Y146" s="35">
        <v>5</v>
      </c>
      <c r="Z146" s="62">
        <v>150000</v>
      </c>
      <c r="AA146" s="84"/>
      <c r="AB146" s="68">
        <v>0</v>
      </c>
      <c r="AC146" s="35">
        <f>Y146*Z146*AB146</f>
        <v>0</v>
      </c>
      <c r="AD146" s="250"/>
      <c r="AE146" s="251"/>
      <c r="AF146" s="31"/>
      <c r="AG146" s="81"/>
      <c r="AH146" s="81"/>
      <c r="AI146" s="153"/>
      <c r="AJ146" s="153"/>
      <c r="AK146" s="153"/>
      <c r="AL146" s="153"/>
      <c r="AM146" s="153"/>
      <c r="AN146" s="153"/>
      <c r="AO146" s="153"/>
      <c r="AP146" s="153"/>
      <c r="AQ146" s="153"/>
      <c r="AR146" s="153"/>
      <c r="AS146" s="153"/>
      <c r="AT146" s="153"/>
      <c r="AU146" s="153"/>
      <c r="AV146" s="153"/>
      <c r="AW146" s="153"/>
      <c r="AX146" s="153"/>
      <c r="AY146" s="153"/>
      <c r="AZ146" s="153"/>
      <c r="BA146" s="153"/>
      <c r="BB146" s="153"/>
      <c r="BC146" s="153"/>
      <c r="BD146" s="153"/>
      <c r="BE146" s="153"/>
      <c r="BF146" s="153"/>
      <c r="BG146" s="153"/>
      <c r="BH146" s="153"/>
      <c r="BI146" s="153"/>
      <c r="BJ146" s="153"/>
      <c r="BK146" s="153"/>
      <c r="BL146" s="153"/>
      <c r="BM146" s="153"/>
      <c r="BN146" s="153"/>
    </row>
    <row r="147" spans="1:66" s="19" customFormat="1" ht="20.25" customHeight="1">
      <c r="A147" s="262">
        <v>18</v>
      </c>
      <c r="B147" s="263" t="s">
        <v>549</v>
      </c>
      <c r="C147" s="258" t="s">
        <v>33</v>
      </c>
      <c r="D147" s="258">
        <v>64</v>
      </c>
      <c r="E147" s="258">
        <v>494</v>
      </c>
      <c r="F147" s="258">
        <v>648.1</v>
      </c>
      <c r="G147" s="258" t="s">
        <v>28</v>
      </c>
      <c r="H147" s="250">
        <v>648</v>
      </c>
      <c r="I147" s="256">
        <f>F147-H147</f>
        <v>0.10000000000002274</v>
      </c>
      <c r="J147" s="250">
        <v>648</v>
      </c>
      <c r="K147" s="250">
        <v>720</v>
      </c>
      <c r="L147" s="258"/>
      <c r="M147" s="272">
        <f>J147/K147*100</f>
        <v>90</v>
      </c>
      <c r="N147" s="250">
        <v>12</v>
      </c>
      <c r="O147" s="250">
        <v>3</v>
      </c>
      <c r="P147" s="250">
        <v>80000</v>
      </c>
      <c r="Q147" s="250">
        <f>P147*J147</f>
        <v>51840000</v>
      </c>
      <c r="R147" s="250">
        <f>Q147*3</f>
        <v>155520000</v>
      </c>
      <c r="S147" s="250">
        <f>N147*O147*17000*30</f>
        <v>18360000</v>
      </c>
      <c r="T147" s="250">
        <f>SUM(Q147:S153)</f>
        <v>225720000</v>
      </c>
      <c r="U147" s="82" t="s">
        <v>446</v>
      </c>
      <c r="V147" s="109"/>
      <c r="W147" s="109"/>
      <c r="X147" s="39" t="s">
        <v>0</v>
      </c>
      <c r="Y147" s="83">
        <v>486</v>
      </c>
      <c r="Z147" s="62">
        <v>180000</v>
      </c>
      <c r="AA147" s="84"/>
      <c r="AB147" s="68">
        <v>1</v>
      </c>
      <c r="AC147" s="35">
        <f>Y147*Z147*AB147</f>
        <v>87480000</v>
      </c>
      <c r="AD147" s="250">
        <f>SUM(AC147:AC153)</f>
        <v>96680000</v>
      </c>
      <c r="AE147" s="251">
        <f>T147+AD147</f>
        <v>322400000</v>
      </c>
      <c r="AF147" s="31"/>
      <c r="AG147" s="81"/>
      <c r="AH147" s="81"/>
      <c r="AI147" s="153"/>
      <c r="AJ147" s="153"/>
      <c r="AK147" s="153"/>
      <c r="AL147" s="153"/>
      <c r="AM147" s="153"/>
      <c r="AN147" s="153"/>
      <c r="AO147" s="153"/>
      <c r="AP147" s="153"/>
      <c r="AQ147" s="153"/>
      <c r="AR147" s="153"/>
      <c r="AS147" s="153"/>
      <c r="AT147" s="153"/>
      <c r="AU147" s="153"/>
      <c r="AV147" s="153"/>
      <c r="AW147" s="153"/>
      <c r="AX147" s="153"/>
      <c r="AY147" s="153"/>
      <c r="AZ147" s="153"/>
      <c r="BA147" s="153"/>
      <c r="BB147" s="153"/>
      <c r="BC147" s="153"/>
      <c r="BD147" s="153"/>
      <c r="BE147" s="153"/>
      <c r="BF147" s="153"/>
      <c r="BG147" s="153"/>
      <c r="BH147" s="153"/>
      <c r="BI147" s="153"/>
      <c r="BJ147" s="153"/>
      <c r="BK147" s="153"/>
      <c r="BL147" s="153"/>
      <c r="BM147" s="153"/>
      <c r="BN147" s="153"/>
    </row>
    <row r="148" spans="1:66" s="19" customFormat="1" ht="36" customHeight="1">
      <c r="A148" s="262"/>
      <c r="B148" s="263"/>
      <c r="C148" s="258"/>
      <c r="D148" s="258"/>
      <c r="E148" s="258"/>
      <c r="F148" s="258"/>
      <c r="G148" s="258"/>
      <c r="H148" s="250"/>
      <c r="I148" s="256"/>
      <c r="J148" s="250"/>
      <c r="K148" s="250"/>
      <c r="L148" s="258"/>
      <c r="M148" s="272"/>
      <c r="N148" s="250"/>
      <c r="O148" s="250"/>
      <c r="P148" s="250"/>
      <c r="Q148" s="250"/>
      <c r="R148" s="250"/>
      <c r="S148" s="250"/>
      <c r="T148" s="250"/>
      <c r="U148" s="65" t="s">
        <v>449</v>
      </c>
      <c r="V148" s="109">
        <v>4</v>
      </c>
      <c r="W148" s="109">
        <f>(J147-Y147)/V148</f>
        <v>40.5</v>
      </c>
      <c r="X148" s="39" t="s">
        <v>396</v>
      </c>
      <c r="Y148" s="35">
        <v>45</v>
      </c>
      <c r="Z148" s="62"/>
      <c r="AA148" s="84"/>
      <c r="AB148" s="68"/>
      <c r="AC148" s="35"/>
      <c r="AD148" s="250"/>
      <c r="AE148" s="251"/>
      <c r="AF148" s="31" t="s">
        <v>398</v>
      </c>
      <c r="AG148" s="81"/>
      <c r="AH148" s="81"/>
      <c r="AI148" s="153"/>
      <c r="AJ148" s="153"/>
      <c r="AK148" s="153"/>
      <c r="AL148" s="153"/>
      <c r="AM148" s="153"/>
      <c r="AN148" s="153"/>
      <c r="AO148" s="153"/>
      <c r="AP148" s="153"/>
      <c r="AQ148" s="153"/>
      <c r="AR148" s="153"/>
      <c r="AS148" s="153"/>
      <c r="AT148" s="153"/>
      <c r="AU148" s="153"/>
      <c r="AV148" s="153"/>
      <c r="AW148" s="153"/>
      <c r="AX148" s="153"/>
      <c r="AY148" s="153"/>
      <c r="AZ148" s="153"/>
      <c r="BA148" s="153"/>
      <c r="BB148" s="153"/>
      <c r="BC148" s="153"/>
      <c r="BD148" s="153"/>
      <c r="BE148" s="153"/>
      <c r="BF148" s="153"/>
      <c r="BG148" s="153"/>
      <c r="BH148" s="153"/>
      <c r="BI148" s="153"/>
      <c r="BJ148" s="153"/>
      <c r="BK148" s="153"/>
      <c r="BL148" s="153"/>
      <c r="BM148" s="153"/>
      <c r="BN148" s="153"/>
    </row>
    <row r="149" spans="1:66" s="19" customFormat="1" ht="26.25" customHeight="1">
      <c r="A149" s="262"/>
      <c r="B149" s="263"/>
      <c r="C149" s="258"/>
      <c r="D149" s="258"/>
      <c r="E149" s="258"/>
      <c r="F149" s="258"/>
      <c r="G149" s="258"/>
      <c r="H149" s="250"/>
      <c r="I149" s="256"/>
      <c r="J149" s="250"/>
      <c r="K149" s="250"/>
      <c r="L149" s="258"/>
      <c r="M149" s="272"/>
      <c r="N149" s="250"/>
      <c r="O149" s="250"/>
      <c r="P149" s="250"/>
      <c r="Q149" s="250"/>
      <c r="R149" s="250"/>
      <c r="S149" s="250"/>
      <c r="T149" s="250"/>
      <c r="U149" s="67" t="s">
        <v>421</v>
      </c>
      <c r="V149" s="109"/>
      <c r="W149" s="109"/>
      <c r="X149" s="39" t="s">
        <v>396</v>
      </c>
      <c r="Y149" s="35">
        <v>41</v>
      </c>
      <c r="Z149" s="62">
        <v>200000</v>
      </c>
      <c r="AA149" s="84"/>
      <c r="AB149" s="68">
        <v>1</v>
      </c>
      <c r="AC149" s="35">
        <f>Y149*Z149*AB149</f>
        <v>8200000</v>
      </c>
      <c r="AD149" s="250"/>
      <c r="AE149" s="251"/>
      <c r="AF149" s="31"/>
      <c r="AG149" s="81"/>
      <c r="AH149" s="81"/>
      <c r="AI149" s="153"/>
      <c r="AJ149" s="153"/>
      <c r="AK149" s="153"/>
      <c r="AL149" s="153"/>
      <c r="AM149" s="153"/>
      <c r="AN149" s="153"/>
      <c r="AO149" s="153"/>
      <c r="AP149" s="153"/>
      <c r="AQ149" s="153"/>
      <c r="AR149" s="153"/>
      <c r="AS149" s="153"/>
      <c r="AT149" s="153"/>
      <c r="AU149" s="153"/>
      <c r="AV149" s="153"/>
      <c r="AW149" s="153"/>
      <c r="AX149" s="153"/>
      <c r="AY149" s="153"/>
      <c r="AZ149" s="153"/>
      <c r="BA149" s="153"/>
      <c r="BB149" s="153"/>
      <c r="BC149" s="153"/>
      <c r="BD149" s="153"/>
      <c r="BE149" s="153"/>
      <c r="BF149" s="153"/>
      <c r="BG149" s="153"/>
      <c r="BH149" s="153"/>
      <c r="BI149" s="153"/>
      <c r="BJ149" s="153"/>
      <c r="BK149" s="153"/>
      <c r="BL149" s="153"/>
      <c r="BM149" s="153"/>
      <c r="BN149" s="153"/>
    </row>
    <row r="150" spans="1:66" s="19" customFormat="1" ht="26.25" customHeight="1">
      <c r="A150" s="262"/>
      <c r="B150" s="263"/>
      <c r="C150" s="258"/>
      <c r="D150" s="258"/>
      <c r="E150" s="258"/>
      <c r="F150" s="258"/>
      <c r="G150" s="258"/>
      <c r="H150" s="250"/>
      <c r="I150" s="256"/>
      <c r="J150" s="250"/>
      <c r="K150" s="250"/>
      <c r="L150" s="258"/>
      <c r="M150" s="272"/>
      <c r="N150" s="250"/>
      <c r="O150" s="250"/>
      <c r="P150" s="250"/>
      <c r="Q150" s="250"/>
      <c r="R150" s="250"/>
      <c r="S150" s="250"/>
      <c r="T150" s="250"/>
      <c r="U150" s="67" t="s">
        <v>423</v>
      </c>
      <c r="V150" s="109"/>
      <c r="W150" s="109">
        <f>0.3*W148</f>
        <v>12.15</v>
      </c>
      <c r="X150" s="39" t="s">
        <v>396</v>
      </c>
      <c r="Y150" s="35">
        <v>4</v>
      </c>
      <c r="Z150" s="62">
        <v>200000</v>
      </c>
      <c r="AA150" s="79"/>
      <c r="AB150" s="80">
        <v>0.5</v>
      </c>
      <c r="AC150" s="35">
        <f t="shared" ref="AC150" si="23">Y150*Z150*AB150</f>
        <v>400000</v>
      </c>
      <c r="AD150" s="250"/>
      <c r="AE150" s="251"/>
      <c r="AF150" s="31"/>
      <c r="AG150" s="102"/>
      <c r="AH150" s="81"/>
      <c r="AI150" s="153"/>
      <c r="AJ150" s="153"/>
      <c r="AK150" s="153"/>
      <c r="AL150" s="153"/>
      <c r="AM150" s="153"/>
      <c r="AN150" s="153"/>
      <c r="AO150" s="153"/>
      <c r="AP150" s="153"/>
      <c r="AQ150" s="153"/>
      <c r="AR150" s="153"/>
      <c r="AS150" s="153"/>
      <c r="AT150" s="153"/>
      <c r="AU150" s="153"/>
      <c r="AV150" s="153"/>
      <c r="AW150" s="153"/>
      <c r="AX150" s="153"/>
      <c r="AY150" s="153"/>
      <c r="AZ150" s="153"/>
      <c r="BA150" s="153"/>
      <c r="BB150" s="153"/>
      <c r="BC150" s="153"/>
      <c r="BD150" s="153"/>
      <c r="BE150" s="153"/>
      <c r="BF150" s="153"/>
      <c r="BG150" s="153"/>
      <c r="BH150" s="153"/>
      <c r="BI150" s="153"/>
      <c r="BJ150" s="153"/>
      <c r="BK150" s="153"/>
      <c r="BL150" s="153"/>
      <c r="BM150" s="153"/>
      <c r="BN150" s="153"/>
    </row>
    <row r="151" spans="1:66" s="19" customFormat="1" ht="30.75" customHeight="1">
      <c r="A151" s="262"/>
      <c r="B151" s="263"/>
      <c r="C151" s="258"/>
      <c r="D151" s="258"/>
      <c r="E151" s="258"/>
      <c r="F151" s="258"/>
      <c r="G151" s="258"/>
      <c r="H151" s="250"/>
      <c r="I151" s="256"/>
      <c r="J151" s="250"/>
      <c r="K151" s="250"/>
      <c r="L151" s="258"/>
      <c r="M151" s="272"/>
      <c r="N151" s="250"/>
      <c r="O151" s="250"/>
      <c r="P151" s="250"/>
      <c r="Q151" s="250"/>
      <c r="R151" s="250"/>
      <c r="S151" s="250"/>
      <c r="T151" s="250"/>
      <c r="U151" s="65" t="s">
        <v>450</v>
      </c>
      <c r="V151" s="109"/>
      <c r="W151" s="109"/>
      <c r="X151" s="39" t="s">
        <v>396</v>
      </c>
      <c r="Y151" s="35">
        <v>20</v>
      </c>
      <c r="Z151" s="62"/>
      <c r="AA151" s="84"/>
      <c r="AB151" s="68"/>
      <c r="AC151" s="35"/>
      <c r="AD151" s="250"/>
      <c r="AE151" s="251"/>
      <c r="AF151" s="31"/>
      <c r="AG151" s="81"/>
      <c r="AH151" s="81"/>
      <c r="AI151" s="153"/>
      <c r="AJ151" s="153"/>
      <c r="AK151" s="153"/>
      <c r="AL151" s="153"/>
      <c r="AM151" s="153"/>
      <c r="AN151" s="153"/>
      <c r="AO151" s="153"/>
      <c r="AP151" s="153"/>
      <c r="AQ151" s="153"/>
      <c r="AR151" s="153"/>
      <c r="AS151" s="153"/>
      <c r="AT151" s="153"/>
      <c r="AU151" s="153"/>
      <c r="AV151" s="153"/>
      <c r="AW151" s="153"/>
      <c r="AX151" s="153"/>
      <c r="AY151" s="153"/>
      <c r="AZ151" s="153"/>
      <c r="BA151" s="153"/>
      <c r="BB151" s="153"/>
      <c r="BC151" s="153"/>
      <c r="BD151" s="153"/>
      <c r="BE151" s="153"/>
      <c r="BF151" s="153"/>
      <c r="BG151" s="153"/>
      <c r="BH151" s="153"/>
      <c r="BI151" s="153"/>
      <c r="BJ151" s="153"/>
      <c r="BK151" s="153"/>
      <c r="BL151" s="153"/>
      <c r="BM151" s="153"/>
      <c r="BN151" s="153"/>
    </row>
    <row r="152" spans="1:66" s="19" customFormat="1" ht="30.75" customHeight="1">
      <c r="A152" s="262"/>
      <c r="B152" s="263"/>
      <c r="C152" s="258"/>
      <c r="D152" s="258"/>
      <c r="E152" s="258"/>
      <c r="F152" s="258"/>
      <c r="G152" s="258"/>
      <c r="H152" s="250"/>
      <c r="I152" s="256"/>
      <c r="J152" s="250"/>
      <c r="K152" s="250"/>
      <c r="L152" s="258"/>
      <c r="M152" s="272"/>
      <c r="N152" s="250"/>
      <c r="O152" s="250"/>
      <c r="P152" s="250"/>
      <c r="Q152" s="250"/>
      <c r="R152" s="250"/>
      <c r="S152" s="250"/>
      <c r="T152" s="250"/>
      <c r="U152" s="67" t="s">
        <v>423</v>
      </c>
      <c r="V152" s="109"/>
      <c r="W152" s="109"/>
      <c r="X152" s="39" t="s">
        <v>396</v>
      </c>
      <c r="Y152" s="35">
        <v>8</v>
      </c>
      <c r="Z152" s="62">
        <v>150000</v>
      </c>
      <c r="AA152" s="79"/>
      <c r="AB152" s="80">
        <v>0.5</v>
      </c>
      <c r="AC152" s="35">
        <f t="shared" ref="AC152:AC154" si="24">Y152*Z152*AB152</f>
        <v>600000</v>
      </c>
      <c r="AD152" s="250"/>
      <c r="AE152" s="251"/>
      <c r="AF152" s="31"/>
      <c r="AG152" s="81"/>
      <c r="AH152" s="81"/>
      <c r="AI152" s="153"/>
      <c r="AJ152" s="153"/>
      <c r="AK152" s="153"/>
      <c r="AL152" s="153"/>
      <c r="AM152" s="153"/>
      <c r="AN152" s="153"/>
      <c r="AO152" s="153"/>
      <c r="AP152" s="153"/>
      <c r="AQ152" s="153"/>
      <c r="AR152" s="153"/>
      <c r="AS152" s="153"/>
      <c r="AT152" s="153"/>
      <c r="AU152" s="153"/>
      <c r="AV152" s="153"/>
      <c r="AW152" s="153"/>
      <c r="AX152" s="153"/>
      <c r="AY152" s="153"/>
      <c r="AZ152" s="153"/>
      <c r="BA152" s="153"/>
      <c r="BB152" s="153"/>
      <c r="BC152" s="153"/>
      <c r="BD152" s="153"/>
      <c r="BE152" s="153"/>
      <c r="BF152" s="153"/>
      <c r="BG152" s="153"/>
      <c r="BH152" s="153"/>
      <c r="BI152" s="153"/>
      <c r="BJ152" s="153"/>
      <c r="BK152" s="153"/>
      <c r="BL152" s="153"/>
      <c r="BM152" s="153"/>
      <c r="BN152" s="153"/>
    </row>
    <row r="153" spans="1:66" s="19" customFormat="1" ht="21.75" customHeight="1">
      <c r="A153" s="262"/>
      <c r="B153" s="263"/>
      <c r="C153" s="258"/>
      <c r="D153" s="258"/>
      <c r="E153" s="258"/>
      <c r="F153" s="258"/>
      <c r="G153" s="258"/>
      <c r="H153" s="250"/>
      <c r="I153" s="256"/>
      <c r="J153" s="250"/>
      <c r="K153" s="250"/>
      <c r="L153" s="258"/>
      <c r="M153" s="272"/>
      <c r="N153" s="250"/>
      <c r="O153" s="250"/>
      <c r="P153" s="250"/>
      <c r="Q153" s="250"/>
      <c r="R153" s="250"/>
      <c r="S153" s="250"/>
      <c r="T153" s="250"/>
      <c r="U153" s="67" t="s">
        <v>424</v>
      </c>
      <c r="V153" s="109"/>
      <c r="W153" s="109"/>
      <c r="X153" s="39" t="s">
        <v>396</v>
      </c>
      <c r="Y153" s="35">
        <f>Y151-Y152</f>
        <v>12</v>
      </c>
      <c r="Z153" s="62">
        <v>150000</v>
      </c>
      <c r="AA153" s="79"/>
      <c r="AB153" s="80">
        <v>0</v>
      </c>
      <c r="AC153" s="35">
        <f t="shared" si="24"/>
        <v>0</v>
      </c>
      <c r="AD153" s="250"/>
      <c r="AE153" s="251"/>
      <c r="AF153" s="31"/>
      <c r="AG153" s="81"/>
      <c r="AH153" s="81"/>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c r="BE153" s="153"/>
      <c r="BF153" s="153"/>
      <c r="BG153" s="153"/>
      <c r="BH153" s="153"/>
      <c r="BI153" s="153"/>
      <c r="BJ153" s="153"/>
      <c r="BK153" s="153"/>
      <c r="BL153" s="153"/>
      <c r="BM153" s="153"/>
      <c r="BN153" s="153"/>
    </row>
    <row r="154" spans="1:66" s="19" customFormat="1" ht="26.25" customHeight="1">
      <c r="A154" s="262">
        <v>19</v>
      </c>
      <c r="B154" s="263" t="s">
        <v>550</v>
      </c>
      <c r="C154" s="258" t="s">
        <v>33</v>
      </c>
      <c r="D154" s="258">
        <v>64</v>
      </c>
      <c r="E154" s="258">
        <v>493</v>
      </c>
      <c r="F154" s="258">
        <v>469.7</v>
      </c>
      <c r="G154" s="258" t="s">
        <v>28</v>
      </c>
      <c r="H154" s="250">
        <v>468</v>
      </c>
      <c r="I154" s="256">
        <f>F154-H154</f>
        <v>1.6999999999999886</v>
      </c>
      <c r="J154" s="250">
        <v>468</v>
      </c>
      <c r="K154" s="250">
        <v>720</v>
      </c>
      <c r="L154" s="258"/>
      <c r="M154" s="272">
        <f>J154/K154*100</f>
        <v>65</v>
      </c>
      <c r="N154" s="250">
        <v>6</v>
      </c>
      <c r="O154" s="250">
        <v>2</v>
      </c>
      <c r="P154" s="250">
        <v>80000</v>
      </c>
      <c r="Q154" s="250">
        <f>P154*J154</f>
        <v>37440000</v>
      </c>
      <c r="R154" s="250">
        <f>Q154*3</f>
        <v>112320000</v>
      </c>
      <c r="S154" s="250">
        <f>N154*O154*17000*30</f>
        <v>6120000</v>
      </c>
      <c r="T154" s="250">
        <f>SUM(Q154:S160)</f>
        <v>155880000</v>
      </c>
      <c r="U154" s="82" t="s">
        <v>446</v>
      </c>
      <c r="V154" s="109"/>
      <c r="W154" s="109"/>
      <c r="X154" s="39" t="s">
        <v>0</v>
      </c>
      <c r="Y154" s="83">
        <v>351</v>
      </c>
      <c r="Z154" s="62">
        <v>180000</v>
      </c>
      <c r="AA154" s="84"/>
      <c r="AB154" s="68">
        <v>1</v>
      </c>
      <c r="AC154" s="35">
        <f t="shared" si="24"/>
        <v>63180000</v>
      </c>
      <c r="AD154" s="250">
        <f>SUM(AC154:AC160)</f>
        <v>69880000</v>
      </c>
      <c r="AE154" s="251">
        <f>T154+AD154</f>
        <v>225760000</v>
      </c>
      <c r="AF154" s="31"/>
      <c r="AG154" s="81"/>
      <c r="AH154" s="81"/>
      <c r="AI154" s="153"/>
      <c r="AJ154" s="153"/>
      <c r="AK154" s="153"/>
      <c r="AL154" s="153"/>
      <c r="AM154" s="153"/>
      <c r="AN154" s="153"/>
      <c r="AO154" s="153"/>
      <c r="AP154" s="153"/>
      <c r="AQ154" s="153"/>
      <c r="AR154" s="153"/>
      <c r="AS154" s="153"/>
      <c r="AT154" s="153"/>
      <c r="AU154" s="153"/>
      <c r="AV154" s="153"/>
      <c r="AW154" s="153"/>
      <c r="AX154" s="153"/>
      <c r="AY154" s="153"/>
      <c r="AZ154" s="153"/>
      <c r="BA154" s="153"/>
      <c r="BB154" s="153"/>
      <c r="BC154" s="153"/>
      <c r="BD154" s="153"/>
      <c r="BE154" s="153"/>
      <c r="BF154" s="153"/>
      <c r="BG154" s="153"/>
      <c r="BH154" s="153"/>
      <c r="BI154" s="153"/>
      <c r="BJ154" s="153"/>
      <c r="BK154" s="153"/>
      <c r="BL154" s="153"/>
      <c r="BM154" s="153"/>
      <c r="BN154" s="153"/>
    </row>
    <row r="155" spans="1:66" s="19" customFormat="1" ht="36" customHeight="1">
      <c r="A155" s="262"/>
      <c r="B155" s="263"/>
      <c r="C155" s="258"/>
      <c r="D155" s="258"/>
      <c r="E155" s="258"/>
      <c r="F155" s="258"/>
      <c r="G155" s="258"/>
      <c r="H155" s="250"/>
      <c r="I155" s="256"/>
      <c r="J155" s="250"/>
      <c r="K155" s="250"/>
      <c r="L155" s="258"/>
      <c r="M155" s="272"/>
      <c r="N155" s="250"/>
      <c r="O155" s="250"/>
      <c r="P155" s="250"/>
      <c r="Q155" s="250"/>
      <c r="R155" s="250"/>
      <c r="S155" s="250"/>
      <c r="T155" s="250"/>
      <c r="U155" s="65" t="s">
        <v>449</v>
      </c>
      <c r="V155" s="109">
        <v>4</v>
      </c>
      <c r="W155" s="109">
        <f>(J154-Y154)/V155</f>
        <v>29.25</v>
      </c>
      <c r="X155" s="39" t="s">
        <v>396</v>
      </c>
      <c r="Y155" s="35">
        <v>45</v>
      </c>
      <c r="Z155" s="62"/>
      <c r="AA155" s="84"/>
      <c r="AB155" s="68"/>
      <c r="AC155" s="35"/>
      <c r="AD155" s="250"/>
      <c r="AE155" s="251"/>
      <c r="AF155" s="31" t="s">
        <v>398</v>
      </c>
      <c r="AG155" s="81"/>
      <c r="AH155" s="81"/>
      <c r="AI155" s="153"/>
      <c r="AJ155" s="153"/>
      <c r="AK155" s="153"/>
      <c r="AL155" s="153"/>
      <c r="AM155" s="153"/>
      <c r="AN155" s="153"/>
      <c r="AO155" s="153"/>
      <c r="AP155" s="153"/>
      <c r="AQ155" s="153"/>
      <c r="AR155" s="153"/>
      <c r="AS155" s="153"/>
      <c r="AT155" s="153"/>
      <c r="AU155" s="153"/>
      <c r="AV155" s="153"/>
      <c r="AW155" s="153"/>
      <c r="AX155" s="153"/>
      <c r="AY155" s="153"/>
      <c r="AZ155" s="153"/>
      <c r="BA155" s="153"/>
      <c r="BB155" s="153"/>
      <c r="BC155" s="153"/>
      <c r="BD155" s="153"/>
      <c r="BE155" s="153"/>
      <c r="BF155" s="153"/>
      <c r="BG155" s="153"/>
      <c r="BH155" s="153"/>
      <c r="BI155" s="153"/>
      <c r="BJ155" s="153"/>
      <c r="BK155" s="153"/>
      <c r="BL155" s="153"/>
      <c r="BM155" s="153"/>
      <c r="BN155" s="153"/>
    </row>
    <row r="156" spans="1:66" s="19" customFormat="1" ht="21.75" customHeight="1">
      <c r="A156" s="262"/>
      <c r="B156" s="263"/>
      <c r="C156" s="258"/>
      <c r="D156" s="258"/>
      <c r="E156" s="258"/>
      <c r="F156" s="258"/>
      <c r="G156" s="258"/>
      <c r="H156" s="250"/>
      <c r="I156" s="256"/>
      <c r="J156" s="250"/>
      <c r="K156" s="250"/>
      <c r="L156" s="258"/>
      <c r="M156" s="272"/>
      <c r="N156" s="250"/>
      <c r="O156" s="250"/>
      <c r="P156" s="250"/>
      <c r="Q156" s="250"/>
      <c r="R156" s="250"/>
      <c r="S156" s="250"/>
      <c r="T156" s="250"/>
      <c r="U156" s="67" t="s">
        <v>421</v>
      </c>
      <c r="V156" s="109"/>
      <c r="W156" s="109"/>
      <c r="X156" s="39" t="s">
        <v>396</v>
      </c>
      <c r="Y156" s="35">
        <v>29</v>
      </c>
      <c r="Z156" s="62">
        <v>200000</v>
      </c>
      <c r="AA156" s="84"/>
      <c r="AB156" s="68">
        <v>1</v>
      </c>
      <c r="AC156" s="35">
        <f>Y156*Z156*AB156</f>
        <v>5800000</v>
      </c>
      <c r="AD156" s="250"/>
      <c r="AE156" s="251"/>
      <c r="AF156" s="31"/>
      <c r="AG156" s="81"/>
      <c r="AH156" s="81"/>
      <c r="AI156" s="153"/>
      <c r="AJ156" s="153"/>
      <c r="AK156" s="153"/>
      <c r="AL156" s="153"/>
      <c r="AM156" s="153"/>
      <c r="AN156" s="153"/>
      <c r="AO156" s="153"/>
      <c r="AP156" s="153"/>
      <c r="AQ156" s="153"/>
      <c r="AR156" s="153"/>
      <c r="AS156" s="153"/>
      <c r="AT156" s="153"/>
      <c r="AU156" s="153"/>
      <c r="AV156" s="153"/>
      <c r="AW156" s="153"/>
      <c r="AX156" s="153"/>
      <c r="AY156" s="153"/>
      <c r="AZ156" s="153"/>
      <c r="BA156" s="153"/>
      <c r="BB156" s="153"/>
      <c r="BC156" s="153"/>
      <c r="BD156" s="153"/>
      <c r="BE156" s="153"/>
      <c r="BF156" s="153"/>
      <c r="BG156" s="153"/>
      <c r="BH156" s="153"/>
      <c r="BI156" s="153"/>
      <c r="BJ156" s="153"/>
      <c r="BK156" s="153"/>
      <c r="BL156" s="153"/>
      <c r="BM156" s="153"/>
      <c r="BN156" s="153"/>
    </row>
    <row r="157" spans="1:66" s="19" customFormat="1" ht="21.75" customHeight="1">
      <c r="A157" s="262"/>
      <c r="B157" s="263"/>
      <c r="C157" s="258"/>
      <c r="D157" s="258"/>
      <c r="E157" s="258"/>
      <c r="F157" s="258"/>
      <c r="G157" s="258"/>
      <c r="H157" s="250"/>
      <c r="I157" s="256"/>
      <c r="J157" s="250"/>
      <c r="K157" s="250"/>
      <c r="L157" s="258"/>
      <c r="M157" s="272"/>
      <c r="N157" s="250"/>
      <c r="O157" s="250"/>
      <c r="P157" s="250"/>
      <c r="Q157" s="250"/>
      <c r="R157" s="250"/>
      <c r="S157" s="250"/>
      <c r="T157" s="250"/>
      <c r="U157" s="67" t="s">
        <v>423</v>
      </c>
      <c r="V157" s="109"/>
      <c r="W157" s="109">
        <f>0.3*W155</f>
        <v>8.7750000000000004</v>
      </c>
      <c r="X157" s="39" t="s">
        <v>396</v>
      </c>
      <c r="Y157" s="35">
        <v>9</v>
      </c>
      <c r="Z157" s="62">
        <v>200000</v>
      </c>
      <c r="AA157" s="79"/>
      <c r="AB157" s="80">
        <v>0.5</v>
      </c>
      <c r="AC157" s="35">
        <f t="shared" ref="AC157:AC158" si="25">Y157*Z157*AB157</f>
        <v>900000</v>
      </c>
      <c r="AD157" s="250"/>
      <c r="AE157" s="251"/>
      <c r="AF157" s="31"/>
      <c r="AG157" s="81"/>
      <c r="AH157" s="81"/>
      <c r="AI157" s="153"/>
      <c r="AJ157" s="153"/>
      <c r="AK157" s="153"/>
      <c r="AL157" s="153"/>
      <c r="AM157" s="153"/>
      <c r="AN157" s="153"/>
      <c r="AO157" s="153"/>
      <c r="AP157" s="153"/>
      <c r="AQ157" s="153"/>
      <c r="AR157" s="153"/>
      <c r="AS157" s="153"/>
      <c r="AT157" s="153"/>
      <c r="AU157" s="153"/>
      <c r="AV157" s="153"/>
      <c r="AW157" s="153"/>
      <c r="AX157" s="153"/>
      <c r="AY157" s="153"/>
      <c r="AZ157" s="153"/>
      <c r="BA157" s="153"/>
      <c r="BB157" s="153"/>
      <c r="BC157" s="153"/>
      <c r="BD157" s="153"/>
      <c r="BE157" s="153"/>
      <c r="BF157" s="153"/>
      <c r="BG157" s="153"/>
      <c r="BH157" s="153"/>
      <c r="BI157" s="153"/>
      <c r="BJ157" s="153"/>
      <c r="BK157" s="153"/>
      <c r="BL157" s="153"/>
      <c r="BM157" s="153"/>
      <c r="BN157" s="153"/>
    </row>
    <row r="158" spans="1:66" s="19" customFormat="1" ht="21.75" customHeight="1">
      <c r="A158" s="262"/>
      <c r="B158" s="263"/>
      <c r="C158" s="258"/>
      <c r="D158" s="258"/>
      <c r="E158" s="258"/>
      <c r="F158" s="258"/>
      <c r="G158" s="258"/>
      <c r="H158" s="250"/>
      <c r="I158" s="256"/>
      <c r="J158" s="250"/>
      <c r="K158" s="250"/>
      <c r="L158" s="258"/>
      <c r="M158" s="272"/>
      <c r="N158" s="250"/>
      <c r="O158" s="250"/>
      <c r="P158" s="250"/>
      <c r="Q158" s="250"/>
      <c r="R158" s="250"/>
      <c r="S158" s="250"/>
      <c r="T158" s="250"/>
      <c r="U158" s="67" t="s">
        <v>424</v>
      </c>
      <c r="V158" s="109"/>
      <c r="W158" s="109"/>
      <c r="X158" s="39" t="s">
        <v>396</v>
      </c>
      <c r="Y158" s="35">
        <f>Y156-Y157</f>
        <v>20</v>
      </c>
      <c r="Z158" s="62">
        <v>200000</v>
      </c>
      <c r="AA158" s="79"/>
      <c r="AB158" s="80">
        <v>0</v>
      </c>
      <c r="AC158" s="35">
        <f t="shared" si="25"/>
        <v>0</v>
      </c>
      <c r="AD158" s="250"/>
      <c r="AE158" s="251"/>
      <c r="AF158" s="31"/>
      <c r="AG158" s="81"/>
      <c r="AH158" s="81"/>
      <c r="AI158" s="153"/>
      <c r="AJ158" s="153"/>
      <c r="AK158" s="153"/>
      <c r="AL158" s="153"/>
      <c r="AM158" s="153"/>
      <c r="AN158" s="153"/>
      <c r="AO158" s="153"/>
      <c r="AP158" s="153"/>
      <c r="AQ158" s="153"/>
      <c r="AR158" s="153"/>
      <c r="AS158" s="153"/>
      <c r="AT158" s="153"/>
      <c r="AU158" s="153"/>
      <c r="AV158" s="153"/>
      <c r="AW158" s="153"/>
      <c r="AX158" s="153"/>
      <c r="AY158" s="153"/>
      <c r="AZ158" s="153"/>
      <c r="BA158" s="153"/>
      <c r="BB158" s="153"/>
      <c r="BC158" s="153"/>
      <c r="BD158" s="153"/>
      <c r="BE158" s="153"/>
      <c r="BF158" s="153"/>
      <c r="BG158" s="153"/>
      <c r="BH158" s="153"/>
      <c r="BI158" s="153"/>
      <c r="BJ158" s="153"/>
      <c r="BK158" s="153"/>
      <c r="BL158" s="153"/>
      <c r="BM158" s="153"/>
      <c r="BN158" s="153"/>
    </row>
    <row r="159" spans="1:66" s="19" customFormat="1" ht="30.75" customHeight="1">
      <c r="A159" s="262"/>
      <c r="B159" s="263"/>
      <c r="C159" s="258"/>
      <c r="D159" s="258"/>
      <c r="E159" s="258"/>
      <c r="F159" s="258"/>
      <c r="G159" s="258"/>
      <c r="H159" s="250"/>
      <c r="I159" s="256"/>
      <c r="J159" s="250"/>
      <c r="K159" s="250"/>
      <c r="L159" s="258"/>
      <c r="M159" s="272"/>
      <c r="N159" s="250"/>
      <c r="O159" s="250"/>
      <c r="P159" s="250"/>
      <c r="Q159" s="250"/>
      <c r="R159" s="250"/>
      <c r="S159" s="250"/>
      <c r="T159" s="250"/>
      <c r="U159" s="65" t="s">
        <v>450</v>
      </c>
      <c r="V159" s="109"/>
      <c r="W159" s="109"/>
      <c r="X159" s="39" t="s">
        <v>396</v>
      </c>
      <c r="Y159" s="35">
        <v>30</v>
      </c>
      <c r="Z159" s="62"/>
      <c r="AA159" s="84"/>
      <c r="AB159" s="68"/>
      <c r="AC159" s="35"/>
      <c r="AD159" s="250"/>
      <c r="AE159" s="251"/>
      <c r="AF159" s="31"/>
      <c r="AG159" s="81"/>
      <c r="AH159" s="81"/>
      <c r="AI159" s="153"/>
      <c r="AJ159" s="153"/>
      <c r="AK159" s="153"/>
      <c r="AL159" s="153"/>
      <c r="AM159" s="153"/>
      <c r="AN159" s="153"/>
      <c r="AO159" s="153"/>
      <c r="AP159" s="153"/>
      <c r="AQ159" s="153"/>
      <c r="AR159" s="153"/>
      <c r="AS159" s="153"/>
      <c r="AT159" s="153"/>
      <c r="AU159" s="153"/>
      <c r="AV159" s="153"/>
      <c r="AW159" s="153"/>
      <c r="AX159" s="153"/>
      <c r="AY159" s="153"/>
      <c r="AZ159" s="153"/>
      <c r="BA159" s="153"/>
      <c r="BB159" s="153"/>
      <c r="BC159" s="153"/>
      <c r="BD159" s="153"/>
      <c r="BE159" s="153"/>
      <c r="BF159" s="153"/>
      <c r="BG159" s="153"/>
      <c r="BH159" s="153"/>
      <c r="BI159" s="153"/>
      <c r="BJ159" s="153"/>
      <c r="BK159" s="153"/>
      <c r="BL159" s="153"/>
      <c r="BM159" s="153"/>
      <c r="BN159" s="153"/>
    </row>
    <row r="160" spans="1:66" s="19" customFormat="1" ht="21.75" customHeight="1">
      <c r="A160" s="262"/>
      <c r="B160" s="263"/>
      <c r="C160" s="258"/>
      <c r="D160" s="258"/>
      <c r="E160" s="258"/>
      <c r="F160" s="258"/>
      <c r="G160" s="258"/>
      <c r="H160" s="250"/>
      <c r="I160" s="256"/>
      <c r="J160" s="250"/>
      <c r="K160" s="250"/>
      <c r="L160" s="258"/>
      <c r="M160" s="272"/>
      <c r="N160" s="250"/>
      <c r="O160" s="250"/>
      <c r="P160" s="250"/>
      <c r="Q160" s="250"/>
      <c r="R160" s="250"/>
      <c r="S160" s="250"/>
      <c r="T160" s="250"/>
      <c r="U160" s="67" t="s">
        <v>424</v>
      </c>
      <c r="V160" s="109"/>
      <c r="W160" s="109"/>
      <c r="X160" s="39" t="s">
        <v>396</v>
      </c>
      <c r="Y160" s="35">
        <v>30</v>
      </c>
      <c r="Z160" s="62">
        <v>150000</v>
      </c>
      <c r="AA160" s="79"/>
      <c r="AB160" s="80">
        <v>0</v>
      </c>
      <c r="AC160" s="35">
        <f t="shared" ref="AC160:AC162" si="26">Y160*Z160*AB160</f>
        <v>0</v>
      </c>
      <c r="AD160" s="250"/>
      <c r="AE160" s="251"/>
      <c r="AF160" s="31"/>
      <c r="AG160" s="81"/>
      <c r="AH160" s="81"/>
      <c r="AI160" s="153"/>
      <c r="AJ160" s="153"/>
      <c r="AK160" s="153"/>
      <c r="AL160" s="153"/>
      <c r="AM160" s="153"/>
      <c r="AN160" s="153"/>
      <c r="AO160" s="153"/>
      <c r="AP160" s="153"/>
      <c r="AQ160" s="153"/>
      <c r="AR160" s="153"/>
      <c r="AS160" s="153"/>
      <c r="AT160" s="153"/>
      <c r="AU160" s="153"/>
      <c r="AV160" s="153"/>
      <c r="AW160" s="153"/>
      <c r="AX160" s="153"/>
      <c r="AY160" s="153"/>
      <c r="AZ160" s="153"/>
      <c r="BA160" s="153"/>
      <c r="BB160" s="153"/>
      <c r="BC160" s="153"/>
      <c r="BD160" s="153"/>
      <c r="BE160" s="153"/>
      <c r="BF160" s="153"/>
      <c r="BG160" s="153"/>
      <c r="BH160" s="153"/>
      <c r="BI160" s="153"/>
      <c r="BJ160" s="153"/>
      <c r="BK160" s="153"/>
      <c r="BL160" s="153"/>
      <c r="BM160" s="153"/>
      <c r="BN160" s="153"/>
    </row>
    <row r="161" spans="1:66" s="19" customFormat="1" ht="28.5" customHeight="1">
      <c r="A161" s="262">
        <v>20</v>
      </c>
      <c r="B161" s="263" t="s">
        <v>636</v>
      </c>
      <c r="C161" s="258" t="s">
        <v>33</v>
      </c>
      <c r="D161" s="258">
        <v>64</v>
      </c>
      <c r="E161" s="258">
        <v>491</v>
      </c>
      <c r="F161" s="258">
        <v>1055.3</v>
      </c>
      <c r="G161" s="258" t="s">
        <v>28</v>
      </c>
      <c r="H161" s="256">
        <v>1055.7</v>
      </c>
      <c r="I161" s="256">
        <f>F161-H161</f>
        <v>-0.40000000000009095</v>
      </c>
      <c r="J161" s="256">
        <v>1055.7</v>
      </c>
      <c r="K161" s="250">
        <v>1800</v>
      </c>
      <c r="L161" s="258"/>
      <c r="M161" s="272">
        <f>J161/K161*100</f>
        <v>58.650000000000006</v>
      </c>
      <c r="N161" s="250">
        <v>6</v>
      </c>
      <c r="O161" s="250">
        <v>4</v>
      </c>
      <c r="P161" s="250">
        <v>80000</v>
      </c>
      <c r="Q161" s="250">
        <f>P161*J161</f>
        <v>84456000</v>
      </c>
      <c r="R161" s="250">
        <f>Q161*3</f>
        <v>253368000</v>
      </c>
      <c r="S161" s="250">
        <f>N161*O161*17000*30</f>
        <v>12240000</v>
      </c>
      <c r="T161" s="250">
        <f>SUM(Q161:S162)</f>
        <v>350064000</v>
      </c>
      <c r="U161" s="82" t="s">
        <v>446</v>
      </c>
      <c r="V161" s="109"/>
      <c r="W161" s="109"/>
      <c r="X161" s="39" t="s">
        <v>0</v>
      </c>
      <c r="Y161" s="83">
        <v>1055</v>
      </c>
      <c r="Z161" s="62">
        <v>180000</v>
      </c>
      <c r="AA161" s="84"/>
      <c r="AB161" s="68">
        <v>1</v>
      </c>
      <c r="AC161" s="35">
        <f t="shared" si="26"/>
        <v>189900000</v>
      </c>
      <c r="AD161" s="250">
        <f>SUM(AC161:AC162)</f>
        <v>189900000</v>
      </c>
      <c r="AE161" s="251">
        <f>T161+AD161</f>
        <v>539964000</v>
      </c>
      <c r="AF161" s="31"/>
      <c r="AG161" s="81"/>
      <c r="AH161" s="81"/>
      <c r="AI161" s="153"/>
      <c r="AJ161" s="153"/>
      <c r="AK161" s="153"/>
      <c r="AL161" s="153"/>
      <c r="AM161" s="153"/>
      <c r="AN161" s="153"/>
      <c r="AO161" s="153"/>
      <c r="AP161" s="153"/>
      <c r="AQ161" s="153"/>
      <c r="AR161" s="153"/>
      <c r="AS161" s="153"/>
      <c r="AT161" s="153"/>
      <c r="AU161" s="153"/>
      <c r="AV161" s="153"/>
      <c r="AW161" s="153"/>
      <c r="AX161" s="153"/>
      <c r="AY161" s="153"/>
      <c r="AZ161" s="153"/>
      <c r="BA161" s="153"/>
      <c r="BB161" s="153"/>
      <c r="BC161" s="153"/>
      <c r="BD161" s="153"/>
      <c r="BE161" s="153"/>
      <c r="BF161" s="153"/>
      <c r="BG161" s="153"/>
      <c r="BH161" s="153"/>
      <c r="BI161" s="153"/>
      <c r="BJ161" s="153"/>
      <c r="BK161" s="153"/>
      <c r="BL161" s="153"/>
      <c r="BM161" s="153"/>
      <c r="BN161" s="153"/>
    </row>
    <row r="162" spans="1:66" s="19" customFormat="1" ht="28.5" customHeight="1">
      <c r="A162" s="262"/>
      <c r="B162" s="263"/>
      <c r="C162" s="258"/>
      <c r="D162" s="258"/>
      <c r="E162" s="258"/>
      <c r="F162" s="258"/>
      <c r="G162" s="258"/>
      <c r="H162" s="256"/>
      <c r="I162" s="256"/>
      <c r="J162" s="256"/>
      <c r="K162" s="250"/>
      <c r="L162" s="258"/>
      <c r="M162" s="272"/>
      <c r="N162" s="250"/>
      <c r="O162" s="250"/>
      <c r="P162" s="250"/>
      <c r="Q162" s="250"/>
      <c r="R162" s="250"/>
      <c r="S162" s="250"/>
      <c r="T162" s="250"/>
      <c r="U162" s="49" t="s">
        <v>504</v>
      </c>
      <c r="V162" s="109"/>
      <c r="W162" s="109"/>
      <c r="X162" s="39" t="s">
        <v>399</v>
      </c>
      <c r="Y162" s="61">
        <v>1</v>
      </c>
      <c r="Z162" s="62"/>
      <c r="AA162" s="84"/>
      <c r="AB162" s="80">
        <v>0</v>
      </c>
      <c r="AC162" s="35">
        <f t="shared" si="26"/>
        <v>0</v>
      </c>
      <c r="AD162" s="250"/>
      <c r="AE162" s="251"/>
      <c r="AF162" s="31"/>
      <c r="AG162" s="81"/>
      <c r="AH162" s="81"/>
      <c r="AI162" s="153"/>
      <c r="AJ162" s="153"/>
      <c r="AK162" s="153"/>
      <c r="AL162" s="153"/>
      <c r="AM162" s="153"/>
      <c r="AN162" s="153"/>
      <c r="AO162" s="153"/>
      <c r="AP162" s="153"/>
      <c r="AQ162" s="153"/>
      <c r="AR162" s="153"/>
      <c r="AS162" s="153"/>
      <c r="AT162" s="153"/>
      <c r="AU162" s="153"/>
      <c r="AV162" s="153"/>
      <c r="AW162" s="153"/>
      <c r="AX162" s="153"/>
      <c r="AY162" s="153"/>
      <c r="AZ162" s="153"/>
      <c r="BA162" s="153"/>
      <c r="BB162" s="153"/>
      <c r="BC162" s="153"/>
      <c r="BD162" s="153"/>
      <c r="BE162" s="153"/>
      <c r="BF162" s="153"/>
      <c r="BG162" s="153"/>
      <c r="BH162" s="153"/>
      <c r="BI162" s="153"/>
      <c r="BJ162" s="153"/>
      <c r="BK162" s="153"/>
      <c r="BL162" s="153"/>
      <c r="BM162" s="153"/>
      <c r="BN162" s="153"/>
    </row>
    <row r="163" spans="1:66" s="19" customFormat="1" ht="24" customHeight="1">
      <c r="A163" s="262">
        <v>21</v>
      </c>
      <c r="B163" s="271" t="s">
        <v>615</v>
      </c>
      <c r="C163" s="258" t="s">
        <v>39</v>
      </c>
      <c r="D163" s="258">
        <v>64</v>
      </c>
      <c r="E163" s="258">
        <v>488</v>
      </c>
      <c r="F163" s="258">
        <v>288.10000000000002</v>
      </c>
      <c r="G163" s="258" t="s">
        <v>28</v>
      </c>
      <c r="H163" s="250">
        <v>288</v>
      </c>
      <c r="I163" s="256">
        <f>F163-H163</f>
        <v>0.10000000000002274</v>
      </c>
      <c r="J163" s="270">
        <f>H163+H166</f>
        <v>839.7</v>
      </c>
      <c r="K163" s="250">
        <v>1080</v>
      </c>
      <c r="L163" s="250"/>
      <c r="M163" s="256">
        <f>J163/K163*100</f>
        <v>77.750000000000014</v>
      </c>
      <c r="N163" s="250">
        <v>12</v>
      </c>
      <c r="O163" s="250">
        <v>6</v>
      </c>
      <c r="P163" s="250">
        <v>80000</v>
      </c>
      <c r="Q163" s="250">
        <f>P163*J163</f>
        <v>67176000</v>
      </c>
      <c r="R163" s="250">
        <f>Q163*3</f>
        <v>201528000</v>
      </c>
      <c r="S163" s="250">
        <f>N163*O163*17000*30</f>
        <v>36720000</v>
      </c>
      <c r="T163" s="250">
        <f>SUM(Q163:S166)</f>
        <v>305424000</v>
      </c>
      <c r="U163" s="82" t="s">
        <v>556</v>
      </c>
      <c r="V163" s="109"/>
      <c r="W163" s="109"/>
      <c r="X163" s="39" t="s">
        <v>0</v>
      </c>
      <c r="Y163" s="83">
        <v>180</v>
      </c>
      <c r="Z163" s="62">
        <v>200000</v>
      </c>
      <c r="AA163" s="84"/>
      <c r="AB163" s="68">
        <v>1</v>
      </c>
      <c r="AC163" s="35">
        <f>Y163*Z163*AB163</f>
        <v>36000000</v>
      </c>
      <c r="AD163" s="250">
        <f>SUM(AC163:AC165)</f>
        <v>37200000</v>
      </c>
      <c r="AE163" s="251">
        <f>T163+AD163+AD166</f>
        <v>429024000</v>
      </c>
      <c r="AF163" s="31"/>
      <c r="AG163" s="81"/>
      <c r="AH163" s="81"/>
      <c r="AI163" s="153"/>
      <c r="AJ163" s="153"/>
      <c r="AK163" s="153"/>
      <c r="AL163" s="153"/>
      <c r="AM163" s="153"/>
      <c r="AN163" s="153"/>
      <c r="AO163" s="153"/>
      <c r="AP163" s="153"/>
      <c r="AQ163" s="153"/>
      <c r="AR163" s="153"/>
      <c r="AS163" s="153"/>
      <c r="AT163" s="153"/>
      <c r="AU163" s="153"/>
      <c r="AV163" s="153"/>
      <c r="AW163" s="153"/>
      <c r="AX163" s="153"/>
      <c r="AY163" s="153"/>
      <c r="AZ163" s="153"/>
      <c r="BA163" s="153"/>
      <c r="BB163" s="153"/>
      <c r="BC163" s="153"/>
      <c r="BD163" s="153"/>
      <c r="BE163" s="153"/>
      <c r="BF163" s="153"/>
      <c r="BG163" s="153"/>
      <c r="BH163" s="153"/>
      <c r="BI163" s="153"/>
      <c r="BJ163" s="153"/>
      <c r="BK163" s="153"/>
      <c r="BL163" s="153"/>
      <c r="BM163" s="153"/>
      <c r="BN163" s="153"/>
    </row>
    <row r="164" spans="1:66" s="19" customFormat="1" ht="37.5" customHeight="1">
      <c r="A164" s="262"/>
      <c r="B164" s="271"/>
      <c r="C164" s="258"/>
      <c r="D164" s="258"/>
      <c r="E164" s="258"/>
      <c r="F164" s="258"/>
      <c r="G164" s="258"/>
      <c r="H164" s="250"/>
      <c r="I164" s="256"/>
      <c r="J164" s="270"/>
      <c r="K164" s="250"/>
      <c r="L164" s="250"/>
      <c r="M164" s="256"/>
      <c r="N164" s="250"/>
      <c r="O164" s="250"/>
      <c r="P164" s="250"/>
      <c r="Q164" s="250"/>
      <c r="R164" s="250"/>
      <c r="S164" s="250"/>
      <c r="T164" s="250"/>
      <c r="U164" s="65" t="s">
        <v>637</v>
      </c>
      <c r="V164" s="109">
        <v>10</v>
      </c>
      <c r="W164" s="109">
        <f>(H163-Y163)/V164</f>
        <v>10.8</v>
      </c>
      <c r="X164" s="39" t="s">
        <v>2</v>
      </c>
      <c r="Y164" s="35">
        <v>5</v>
      </c>
      <c r="Z164" s="62"/>
      <c r="AA164" s="79"/>
      <c r="AB164" s="80"/>
      <c r="AC164" s="35"/>
      <c r="AD164" s="250"/>
      <c r="AE164" s="251"/>
      <c r="AF164" s="31"/>
      <c r="AG164" s="81"/>
      <c r="AH164" s="81"/>
      <c r="AI164" s="153"/>
      <c r="AJ164" s="153"/>
      <c r="AK164" s="153"/>
      <c r="AL164" s="153"/>
      <c r="AM164" s="153"/>
      <c r="AN164" s="153"/>
      <c r="AO164" s="153"/>
      <c r="AP164" s="153"/>
      <c r="AQ164" s="153"/>
      <c r="AR164" s="153"/>
      <c r="AS164" s="153"/>
      <c r="AT164" s="153"/>
      <c r="AU164" s="153"/>
      <c r="AV164" s="153"/>
      <c r="AW164" s="153"/>
      <c r="AX164" s="153"/>
      <c r="AY164" s="153"/>
      <c r="AZ164" s="153"/>
      <c r="BA164" s="153"/>
      <c r="BB164" s="153"/>
      <c r="BC164" s="153"/>
      <c r="BD164" s="153"/>
      <c r="BE164" s="153"/>
      <c r="BF164" s="153"/>
      <c r="BG164" s="153"/>
      <c r="BH164" s="153"/>
      <c r="BI164" s="153"/>
      <c r="BJ164" s="153"/>
      <c r="BK164" s="153"/>
      <c r="BL164" s="153"/>
      <c r="BM164" s="153"/>
      <c r="BN164" s="153"/>
    </row>
    <row r="165" spans="1:66" s="19" customFormat="1" ht="22.5" customHeight="1">
      <c r="A165" s="262"/>
      <c r="B165" s="271"/>
      <c r="C165" s="258"/>
      <c r="D165" s="258"/>
      <c r="E165" s="258"/>
      <c r="F165" s="258"/>
      <c r="G165" s="258"/>
      <c r="H165" s="250"/>
      <c r="I165" s="256"/>
      <c r="J165" s="270"/>
      <c r="K165" s="250"/>
      <c r="L165" s="250"/>
      <c r="M165" s="256"/>
      <c r="N165" s="250"/>
      <c r="O165" s="250"/>
      <c r="P165" s="250"/>
      <c r="Q165" s="250"/>
      <c r="R165" s="250"/>
      <c r="S165" s="250"/>
      <c r="T165" s="250"/>
      <c r="U165" s="67" t="s">
        <v>421</v>
      </c>
      <c r="V165" s="109"/>
      <c r="W165" s="109"/>
      <c r="X165" s="39" t="s">
        <v>2</v>
      </c>
      <c r="Y165" s="35">
        <v>5</v>
      </c>
      <c r="Z165" s="62">
        <v>240000</v>
      </c>
      <c r="AA165" s="79"/>
      <c r="AB165" s="80">
        <v>1</v>
      </c>
      <c r="AC165" s="35">
        <f t="shared" ref="AC165:AC166" si="27">Y165*Z165*AB165</f>
        <v>1200000</v>
      </c>
      <c r="AD165" s="250"/>
      <c r="AE165" s="251"/>
      <c r="AF165" s="31"/>
      <c r="AG165" s="81"/>
      <c r="AH165" s="81"/>
      <c r="AI165" s="153"/>
      <c r="AJ165" s="153"/>
      <c r="AK165" s="153"/>
      <c r="AL165" s="153"/>
      <c r="AM165" s="153"/>
      <c r="AN165" s="153"/>
      <c r="AO165" s="153"/>
      <c r="AP165" s="153"/>
      <c r="AQ165" s="153"/>
      <c r="AR165" s="153"/>
      <c r="AS165" s="153"/>
      <c r="AT165" s="153"/>
      <c r="AU165" s="153"/>
      <c r="AV165" s="153"/>
      <c r="AW165" s="153"/>
      <c r="AX165" s="153"/>
      <c r="AY165" s="153"/>
      <c r="AZ165" s="153"/>
      <c r="BA165" s="153"/>
      <c r="BB165" s="153"/>
      <c r="BC165" s="153"/>
      <c r="BD165" s="153"/>
      <c r="BE165" s="153"/>
      <c r="BF165" s="153"/>
      <c r="BG165" s="153"/>
      <c r="BH165" s="153"/>
      <c r="BI165" s="153"/>
      <c r="BJ165" s="153"/>
      <c r="BK165" s="153"/>
      <c r="BL165" s="153"/>
      <c r="BM165" s="153"/>
      <c r="BN165" s="153"/>
    </row>
    <row r="166" spans="1:66" s="19" customFormat="1" ht="40.5" customHeight="1">
      <c r="A166" s="262"/>
      <c r="B166" s="271"/>
      <c r="C166" s="60"/>
      <c r="D166" s="60">
        <v>64</v>
      </c>
      <c r="E166" s="60">
        <v>820</v>
      </c>
      <c r="F166" s="60">
        <v>551.20000000000005</v>
      </c>
      <c r="G166" s="60" t="s">
        <v>28</v>
      </c>
      <c r="H166" s="70">
        <v>551.70000000000005</v>
      </c>
      <c r="I166" s="85">
        <f>F166-H166</f>
        <v>-0.5</v>
      </c>
      <c r="J166" s="270"/>
      <c r="K166" s="250"/>
      <c r="L166" s="250"/>
      <c r="M166" s="256"/>
      <c r="N166" s="250"/>
      <c r="O166" s="250"/>
      <c r="P166" s="250"/>
      <c r="Q166" s="250"/>
      <c r="R166" s="250"/>
      <c r="S166" s="250"/>
      <c r="T166" s="250"/>
      <c r="U166" s="82" t="s">
        <v>556</v>
      </c>
      <c r="V166" s="109"/>
      <c r="W166" s="109"/>
      <c r="X166" s="39" t="s">
        <v>0</v>
      </c>
      <c r="Y166" s="83">
        <v>432</v>
      </c>
      <c r="Z166" s="62">
        <v>200000</v>
      </c>
      <c r="AA166" s="84"/>
      <c r="AB166" s="68">
        <v>1</v>
      </c>
      <c r="AC166" s="35">
        <f t="shared" si="27"/>
        <v>86400000</v>
      </c>
      <c r="AD166" s="35">
        <f>SUM(AC166:AC166)</f>
        <v>86400000</v>
      </c>
      <c r="AE166" s="251"/>
      <c r="AF166" s="31"/>
      <c r="AG166" s="81"/>
      <c r="AH166" s="81"/>
      <c r="AI166" s="153"/>
      <c r="AJ166" s="153"/>
      <c r="AK166" s="153"/>
      <c r="AL166" s="153"/>
      <c r="AM166" s="153"/>
      <c r="AN166" s="153"/>
      <c r="AO166" s="153"/>
      <c r="AP166" s="153"/>
      <c r="AQ166" s="153"/>
      <c r="AR166" s="153"/>
      <c r="AS166" s="153"/>
      <c r="AT166" s="153"/>
      <c r="AU166" s="153"/>
      <c r="AV166" s="153"/>
      <c r="AW166" s="153"/>
      <c r="AX166" s="153"/>
      <c r="AY166" s="153"/>
      <c r="AZ166" s="153"/>
      <c r="BA166" s="153"/>
      <c r="BB166" s="153"/>
      <c r="BC166" s="153"/>
      <c r="BD166" s="153"/>
      <c r="BE166" s="153"/>
      <c r="BF166" s="153"/>
      <c r="BG166" s="153"/>
      <c r="BH166" s="153"/>
      <c r="BI166" s="153"/>
      <c r="BJ166" s="153"/>
      <c r="BK166" s="153"/>
      <c r="BL166" s="153"/>
      <c r="BM166" s="153"/>
      <c r="BN166" s="153"/>
    </row>
    <row r="167" spans="1:66" s="28" customFormat="1" ht="32.25" customHeight="1">
      <c r="A167" s="262">
        <v>22</v>
      </c>
      <c r="B167" s="263" t="s">
        <v>662</v>
      </c>
      <c r="C167" s="60"/>
      <c r="D167" s="258">
        <v>64</v>
      </c>
      <c r="E167" s="258">
        <v>594</v>
      </c>
      <c r="F167" s="258">
        <v>180.1</v>
      </c>
      <c r="G167" s="258" t="s">
        <v>28</v>
      </c>
      <c r="H167" s="250">
        <v>180</v>
      </c>
      <c r="I167" s="256">
        <f>F167-H167</f>
        <v>9.9999999999994316E-2</v>
      </c>
      <c r="J167" s="268">
        <v>180</v>
      </c>
      <c r="K167" s="268">
        <v>1800</v>
      </c>
      <c r="L167" s="60"/>
      <c r="M167" s="269">
        <f>J167/K167*100</f>
        <v>10</v>
      </c>
      <c r="N167" s="264">
        <v>3</v>
      </c>
      <c r="O167" s="264">
        <v>3</v>
      </c>
      <c r="P167" s="264">
        <v>80000</v>
      </c>
      <c r="Q167" s="264">
        <f>P167*J167</f>
        <v>14400000</v>
      </c>
      <c r="R167" s="264">
        <f>Q167*3</f>
        <v>43200000</v>
      </c>
      <c r="S167" s="264">
        <f>N167*O167*17000*30</f>
        <v>4590000</v>
      </c>
      <c r="T167" s="264">
        <f>SUM(Q167:S178)</f>
        <v>62190000</v>
      </c>
      <c r="U167" s="65" t="s">
        <v>663</v>
      </c>
      <c r="V167" s="50">
        <v>10</v>
      </c>
      <c r="W167" s="50">
        <f>(J167-37)/V167</f>
        <v>14.3</v>
      </c>
      <c r="X167" s="39" t="s">
        <v>2</v>
      </c>
      <c r="Y167" s="35">
        <v>30</v>
      </c>
      <c r="Z167" s="62"/>
      <c r="AA167" s="79"/>
      <c r="AB167" s="80"/>
      <c r="AC167" s="35">
        <f>Y167*Z167*AB167</f>
        <v>0</v>
      </c>
      <c r="AD167" s="250">
        <f>SUM(AC167:AC178)</f>
        <v>4836000</v>
      </c>
      <c r="AE167" s="251">
        <f>T167+AD167</f>
        <v>67026000</v>
      </c>
      <c r="AF167" s="103">
        <f>Y167*10</f>
        <v>300</v>
      </c>
      <c r="AG167" s="265" t="s">
        <v>664</v>
      </c>
      <c r="AH167" s="103" t="s">
        <v>398</v>
      </c>
      <c r="AI167" s="238" t="s">
        <v>665</v>
      </c>
      <c r="AJ167" s="240" t="s">
        <v>681</v>
      </c>
      <c r="AK167" s="153"/>
      <c r="AL167" s="153"/>
      <c r="AM167" s="153"/>
      <c r="AN167" s="153"/>
      <c r="AO167" s="153"/>
      <c r="AP167" s="153"/>
      <c r="AQ167" s="153"/>
      <c r="AR167" s="153"/>
      <c r="AS167" s="153"/>
      <c r="AT167" s="153"/>
      <c r="AU167" s="153"/>
      <c r="AV167" s="153"/>
      <c r="AW167" s="153"/>
      <c r="AX167" s="153"/>
      <c r="AY167" s="153"/>
      <c r="AZ167" s="153"/>
      <c r="BA167" s="153"/>
      <c r="BB167" s="153"/>
      <c r="BC167" s="153"/>
      <c r="BD167" s="153"/>
      <c r="BE167" s="153"/>
      <c r="BF167" s="153"/>
      <c r="BG167" s="153"/>
      <c r="BH167" s="153"/>
      <c r="BI167" s="153"/>
      <c r="BJ167" s="153"/>
      <c r="BK167" s="153"/>
      <c r="BL167" s="153"/>
      <c r="BM167" s="153"/>
      <c r="BN167" s="153"/>
    </row>
    <row r="168" spans="1:66" s="28" customFormat="1" ht="19.5" customHeight="1">
      <c r="A168" s="262"/>
      <c r="B168" s="263"/>
      <c r="C168" s="60"/>
      <c r="D168" s="258"/>
      <c r="E168" s="258"/>
      <c r="F168" s="258"/>
      <c r="G168" s="258"/>
      <c r="H168" s="250"/>
      <c r="I168" s="256"/>
      <c r="J168" s="268"/>
      <c r="K168" s="268"/>
      <c r="L168" s="60"/>
      <c r="M168" s="269"/>
      <c r="N168" s="264"/>
      <c r="O168" s="264"/>
      <c r="P168" s="264"/>
      <c r="Q168" s="264"/>
      <c r="R168" s="264"/>
      <c r="S168" s="264"/>
      <c r="T168" s="264"/>
      <c r="U168" s="67" t="s">
        <v>421</v>
      </c>
      <c r="V168" s="50"/>
      <c r="W168" s="50"/>
      <c r="X168" s="39" t="s">
        <v>2</v>
      </c>
      <c r="Y168" s="35">
        <v>14</v>
      </c>
      <c r="Z168" s="62">
        <v>240000</v>
      </c>
      <c r="AA168" s="79"/>
      <c r="AB168" s="80">
        <v>1</v>
      </c>
      <c r="AC168" s="35">
        <f>Y168*Z168*AB168</f>
        <v>3360000</v>
      </c>
      <c r="AD168" s="250"/>
      <c r="AE168" s="251"/>
      <c r="AF168" s="103"/>
      <c r="AG168" s="266"/>
      <c r="AH168" s="103"/>
      <c r="AI168" s="238"/>
      <c r="AJ168" s="240"/>
      <c r="AK168" s="153"/>
      <c r="AL168" s="153"/>
      <c r="AM168" s="153"/>
      <c r="AN168" s="153"/>
      <c r="AO168" s="153"/>
      <c r="AP168" s="153"/>
      <c r="AQ168" s="153"/>
      <c r="AR168" s="153"/>
      <c r="AS168" s="153"/>
      <c r="AT168" s="153"/>
      <c r="AU168" s="153"/>
      <c r="AV168" s="153"/>
      <c r="AW168" s="153"/>
      <c r="AX168" s="153"/>
      <c r="AY168" s="153"/>
      <c r="AZ168" s="153"/>
      <c r="BA168" s="153"/>
      <c r="BB168" s="153"/>
      <c r="BC168" s="153"/>
      <c r="BD168" s="153"/>
      <c r="BE168" s="153"/>
      <c r="BF168" s="153"/>
      <c r="BG168" s="153"/>
      <c r="BH168" s="153"/>
      <c r="BI168" s="153"/>
      <c r="BJ168" s="153"/>
      <c r="BK168" s="153"/>
      <c r="BL168" s="153"/>
      <c r="BM168" s="153"/>
      <c r="BN168" s="153"/>
    </row>
    <row r="169" spans="1:66" s="28" customFormat="1" ht="19.5" customHeight="1">
      <c r="A169" s="262"/>
      <c r="B169" s="263"/>
      <c r="C169" s="60"/>
      <c r="D169" s="258"/>
      <c r="E169" s="258"/>
      <c r="F169" s="258"/>
      <c r="G169" s="258"/>
      <c r="H169" s="250"/>
      <c r="I169" s="256"/>
      <c r="J169" s="268"/>
      <c r="K169" s="268"/>
      <c r="L169" s="60"/>
      <c r="M169" s="269"/>
      <c r="N169" s="264"/>
      <c r="O169" s="264"/>
      <c r="P169" s="264"/>
      <c r="Q169" s="264"/>
      <c r="R169" s="264"/>
      <c r="S169" s="264"/>
      <c r="T169" s="264"/>
      <c r="U169" s="67" t="s">
        <v>423</v>
      </c>
      <c r="V169" s="50"/>
      <c r="W169" s="50">
        <f>0.3*(40-14)</f>
        <v>7.8</v>
      </c>
      <c r="X169" s="39" t="s">
        <v>2</v>
      </c>
      <c r="Y169" s="35">
        <v>8</v>
      </c>
      <c r="Z169" s="62">
        <v>240000</v>
      </c>
      <c r="AA169" s="79"/>
      <c r="AB169" s="80">
        <v>0.3</v>
      </c>
      <c r="AC169" s="35">
        <f>Y169*Z169*AB169</f>
        <v>576000</v>
      </c>
      <c r="AD169" s="250"/>
      <c r="AE169" s="251"/>
      <c r="AF169" s="103"/>
      <c r="AG169" s="266"/>
      <c r="AH169" s="103"/>
      <c r="AI169" s="238"/>
      <c r="AJ169" s="240"/>
      <c r="AK169" s="153"/>
      <c r="AL169" s="153"/>
      <c r="AM169" s="153"/>
      <c r="AN169" s="153"/>
      <c r="AO169" s="153"/>
      <c r="AP169" s="153"/>
      <c r="AQ169" s="153"/>
      <c r="AR169" s="153"/>
      <c r="AS169" s="153"/>
      <c r="AT169" s="153"/>
      <c r="AU169" s="153"/>
      <c r="AV169" s="153"/>
      <c r="AW169" s="153"/>
      <c r="AX169" s="153"/>
      <c r="AY169" s="153"/>
      <c r="AZ169" s="153"/>
      <c r="BA169" s="153"/>
      <c r="BB169" s="153"/>
      <c r="BC169" s="153"/>
      <c r="BD169" s="153"/>
      <c r="BE169" s="153"/>
      <c r="BF169" s="153"/>
      <c r="BG169" s="153"/>
      <c r="BH169" s="153"/>
      <c r="BI169" s="153"/>
      <c r="BJ169" s="153"/>
      <c r="BK169" s="153"/>
      <c r="BL169" s="153"/>
      <c r="BM169" s="153"/>
      <c r="BN169" s="153"/>
    </row>
    <row r="170" spans="1:66" s="28" customFormat="1" ht="19.5" customHeight="1">
      <c r="A170" s="262"/>
      <c r="B170" s="263"/>
      <c r="C170" s="60"/>
      <c r="D170" s="258"/>
      <c r="E170" s="258"/>
      <c r="F170" s="258"/>
      <c r="G170" s="258"/>
      <c r="H170" s="250"/>
      <c r="I170" s="256"/>
      <c r="J170" s="268"/>
      <c r="K170" s="268"/>
      <c r="L170" s="60"/>
      <c r="M170" s="269"/>
      <c r="N170" s="264"/>
      <c r="O170" s="264"/>
      <c r="P170" s="264"/>
      <c r="Q170" s="264"/>
      <c r="R170" s="264"/>
      <c r="S170" s="264"/>
      <c r="T170" s="264"/>
      <c r="U170" s="67" t="s">
        <v>424</v>
      </c>
      <c r="V170" s="50"/>
      <c r="W170" s="50"/>
      <c r="X170" s="39" t="s">
        <v>2</v>
      </c>
      <c r="Y170" s="35">
        <f>Y167-Y168-Y169</f>
        <v>8</v>
      </c>
      <c r="Z170" s="62">
        <v>240000</v>
      </c>
      <c r="AA170" s="79"/>
      <c r="AB170" s="80">
        <v>0</v>
      </c>
      <c r="AC170" s="35">
        <f t="shared" ref="AC170" si="28">Y170*Z170*AB170/100</f>
        <v>0</v>
      </c>
      <c r="AD170" s="250"/>
      <c r="AE170" s="251"/>
      <c r="AF170" s="103"/>
      <c r="AG170" s="266"/>
      <c r="AH170" s="103"/>
      <c r="AI170" s="238"/>
      <c r="AJ170" s="240"/>
      <c r="AK170" s="153"/>
      <c r="AL170" s="153"/>
      <c r="AM170" s="153"/>
      <c r="AN170" s="153"/>
      <c r="AO170" s="153"/>
      <c r="AP170" s="153"/>
      <c r="AQ170" s="153"/>
      <c r="AR170" s="153"/>
      <c r="AS170" s="153"/>
      <c r="AT170" s="153"/>
      <c r="AU170" s="153"/>
      <c r="AV170" s="153"/>
      <c r="AW170" s="153"/>
      <c r="AX170" s="153"/>
      <c r="AY170" s="153"/>
      <c r="AZ170" s="153"/>
      <c r="BA170" s="153"/>
      <c r="BB170" s="153"/>
      <c r="BC170" s="153"/>
      <c r="BD170" s="153"/>
      <c r="BE170" s="153"/>
      <c r="BF170" s="153"/>
      <c r="BG170" s="153"/>
      <c r="BH170" s="153"/>
      <c r="BI170" s="153"/>
      <c r="BJ170" s="153"/>
      <c r="BK170" s="153"/>
      <c r="BL170" s="153"/>
      <c r="BM170" s="153"/>
      <c r="BN170" s="153"/>
    </row>
    <row r="171" spans="1:66" s="28" customFormat="1" ht="36.75" customHeight="1">
      <c r="A171" s="262"/>
      <c r="B171" s="263"/>
      <c r="C171" s="60"/>
      <c r="D171" s="258"/>
      <c r="E171" s="258"/>
      <c r="F171" s="258"/>
      <c r="G171" s="258"/>
      <c r="H171" s="250"/>
      <c r="I171" s="256"/>
      <c r="J171" s="268"/>
      <c r="K171" s="268"/>
      <c r="L171" s="60"/>
      <c r="M171" s="269"/>
      <c r="N171" s="264"/>
      <c r="O171" s="264"/>
      <c r="P171" s="264"/>
      <c r="Q171" s="264"/>
      <c r="R171" s="264"/>
      <c r="S171" s="264"/>
      <c r="T171" s="264"/>
      <c r="U171" s="65" t="s">
        <v>666</v>
      </c>
      <c r="V171" s="50"/>
      <c r="W171" s="50"/>
      <c r="X171" s="39" t="s">
        <v>2</v>
      </c>
      <c r="Y171" s="35">
        <v>10</v>
      </c>
      <c r="Z171" s="62"/>
      <c r="AA171" s="79"/>
      <c r="AB171" s="80"/>
      <c r="AC171" s="35">
        <f>Y171*Z171*AB171</f>
        <v>0</v>
      </c>
      <c r="AD171" s="250"/>
      <c r="AE171" s="251"/>
      <c r="AF171" s="103"/>
      <c r="AG171" s="266"/>
      <c r="AH171" s="103"/>
      <c r="AI171" s="238"/>
      <c r="AJ171" s="240"/>
      <c r="AK171" s="153"/>
      <c r="AL171" s="153"/>
      <c r="AM171" s="153"/>
      <c r="AN171" s="153"/>
      <c r="AO171" s="153"/>
      <c r="AP171" s="153"/>
      <c r="AQ171" s="153"/>
      <c r="AR171" s="153"/>
      <c r="AS171" s="153"/>
      <c r="AT171" s="153"/>
      <c r="AU171" s="153"/>
      <c r="AV171" s="153"/>
      <c r="AW171" s="153"/>
      <c r="AX171" s="153"/>
      <c r="AY171" s="153"/>
      <c r="AZ171" s="153"/>
      <c r="BA171" s="153"/>
      <c r="BB171" s="153"/>
      <c r="BC171" s="153"/>
      <c r="BD171" s="153"/>
      <c r="BE171" s="153"/>
      <c r="BF171" s="153"/>
      <c r="BG171" s="153"/>
      <c r="BH171" s="153"/>
      <c r="BI171" s="153"/>
      <c r="BJ171" s="153"/>
      <c r="BK171" s="153"/>
      <c r="BL171" s="153"/>
      <c r="BM171" s="153"/>
      <c r="BN171" s="153"/>
    </row>
    <row r="172" spans="1:66" s="28" customFormat="1" ht="22.5" customHeight="1">
      <c r="A172" s="262"/>
      <c r="B172" s="263"/>
      <c r="C172" s="60"/>
      <c r="D172" s="258"/>
      <c r="E172" s="258"/>
      <c r="F172" s="258"/>
      <c r="G172" s="258"/>
      <c r="H172" s="250"/>
      <c r="I172" s="256"/>
      <c r="J172" s="268"/>
      <c r="K172" s="268"/>
      <c r="L172" s="60"/>
      <c r="M172" s="269"/>
      <c r="N172" s="264"/>
      <c r="O172" s="264"/>
      <c r="P172" s="264"/>
      <c r="Q172" s="264"/>
      <c r="R172" s="264"/>
      <c r="S172" s="264"/>
      <c r="T172" s="264"/>
      <c r="U172" s="67" t="s">
        <v>424</v>
      </c>
      <c r="V172" s="50"/>
      <c r="W172" s="50"/>
      <c r="X172" s="39" t="s">
        <v>2</v>
      </c>
      <c r="Y172" s="35">
        <v>10</v>
      </c>
      <c r="Z172" s="62">
        <v>95000</v>
      </c>
      <c r="AA172" s="79"/>
      <c r="AB172" s="80">
        <v>0</v>
      </c>
      <c r="AC172" s="35">
        <f>Y172*Z172*AB172</f>
        <v>0</v>
      </c>
      <c r="AD172" s="250"/>
      <c r="AE172" s="251"/>
      <c r="AF172" s="103"/>
      <c r="AG172" s="266"/>
      <c r="AH172" s="103"/>
      <c r="AI172" s="238"/>
      <c r="AJ172" s="240"/>
      <c r="AK172" s="153"/>
      <c r="AL172" s="153"/>
      <c r="AM172" s="153"/>
      <c r="AN172" s="153"/>
      <c r="AO172" s="153"/>
      <c r="AP172" s="153"/>
      <c r="AQ172" s="153"/>
      <c r="AR172" s="153"/>
      <c r="AS172" s="153"/>
      <c r="AT172" s="153"/>
      <c r="AU172" s="153"/>
      <c r="AV172" s="153"/>
      <c r="AW172" s="153"/>
      <c r="AX172" s="153"/>
      <c r="AY172" s="153"/>
      <c r="AZ172" s="153"/>
      <c r="BA172" s="153"/>
      <c r="BB172" s="153"/>
      <c r="BC172" s="153"/>
      <c r="BD172" s="153"/>
      <c r="BE172" s="153"/>
      <c r="BF172" s="153"/>
      <c r="BG172" s="153"/>
      <c r="BH172" s="153"/>
      <c r="BI172" s="153"/>
      <c r="BJ172" s="153"/>
      <c r="BK172" s="153"/>
      <c r="BL172" s="153"/>
      <c r="BM172" s="153"/>
      <c r="BN172" s="153"/>
    </row>
    <row r="173" spans="1:66" s="28" customFormat="1" ht="32.25" customHeight="1">
      <c r="A173" s="262"/>
      <c r="B173" s="263"/>
      <c r="C173" s="60"/>
      <c r="D173" s="258"/>
      <c r="E173" s="258"/>
      <c r="F173" s="258"/>
      <c r="G173" s="258"/>
      <c r="H173" s="250"/>
      <c r="I173" s="256"/>
      <c r="J173" s="268"/>
      <c r="K173" s="268"/>
      <c r="L173" s="60"/>
      <c r="M173" s="269"/>
      <c r="N173" s="264"/>
      <c r="O173" s="264"/>
      <c r="P173" s="264"/>
      <c r="Q173" s="264"/>
      <c r="R173" s="264"/>
      <c r="S173" s="264"/>
      <c r="T173" s="264"/>
      <c r="U173" s="65" t="s">
        <v>667</v>
      </c>
      <c r="V173" s="50">
        <v>20</v>
      </c>
      <c r="W173" s="50">
        <f>0.3*J167/V173</f>
        <v>2.7</v>
      </c>
      <c r="X173" s="39" t="s">
        <v>2</v>
      </c>
      <c r="Y173" s="35">
        <v>1</v>
      </c>
      <c r="Z173" s="62"/>
      <c r="AA173" s="79"/>
      <c r="AB173" s="80"/>
      <c r="AC173" s="35">
        <f>Y173*Z173*AB173</f>
        <v>0</v>
      </c>
      <c r="AD173" s="250"/>
      <c r="AE173" s="251"/>
      <c r="AF173" s="103"/>
      <c r="AG173" s="266"/>
      <c r="AH173" s="103" t="s">
        <v>668</v>
      </c>
      <c r="AI173" s="238"/>
      <c r="AJ173" s="240"/>
      <c r="AK173" s="153"/>
      <c r="AL173" s="153"/>
      <c r="AM173" s="153"/>
      <c r="AN173" s="153"/>
      <c r="AO173" s="153"/>
      <c r="AP173" s="153"/>
      <c r="AQ173" s="153"/>
      <c r="AR173" s="153"/>
      <c r="AS173" s="153"/>
      <c r="AT173" s="153"/>
      <c r="AU173" s="153"/>
      <c r="AV173" s="153"/>
      <c r="AW173" s="153"/>
      <c r="AX173" s="153"/>
      <c r="AY173" s="153"/>
      <c r="AZ173" s="153"/>
      <c r="BA173" s="153"/>
      <c r="BB173" s="153"/>
      <c r="BC173" s="153"/>
      <c r="BD173" s="153"/>
      <c r="BE173" s="153"/>
      <c r="BF173" s="153"/>
      <c r="BG173" s="153"/>
      <c r="BH173" s="153"/>
      <c r="BI173" s="153"/>
      <c r="BJ173" s="153"/>
      <c r="BK173" s="153"/>
      <c r="BL173" s="153"/>
      <c r="BM173" s="153"/>
      <c r="BN173" s="153"/>
    </row>
    <row r="174" spans="1:66" s="28" customFormat="1" ht="26.25" customHeight="1">
      <c r="A174" s="262"/>
      <c r="B174" s="263"/>
      <c r="C174" s="60"/>
      <c r="D174" s="258"/>
      <c r="E174" s="258"/>
      <c r="F174" s="258"/>
      <c r="G174" s="258"/>
      <c r="H174" s="250"/>
      <c r="I174" s="256"/>
      <c r="J174" s="268"/>
      <c r="K174" s="268"/>
      <c r="L174" s="60"/>
      <c r="M174" s="269"/>
      <c r="N174" s="264"/>
      <c r="O174" s="264"/>
      <c r="P174" s="264"/>
      <c r="Q174" s="264"/>
      <c r="R174" s="264"/>
      <c r="S174" s="264"/>
      <c r="T174" s="264"/>
      <c r="U174" s="67" t="s">
        <v>669</v>
      </c>
      <c r="V174" s="50"/>
      <c r="W174" s="50"/>
      <c r="X174" s="39" t="s">
        <v>2</v>
      </c>
      <c r="Y174" s="35">
        <v>1</v>
      </c>
      <c r="Z174" s="62">
        <v>3000000</v>
      </c>
      <c r="AA174" s="79"/>
      <c r="AB174" s="80">
        <v>0.3</v>
      </c>
      <c r="AC174" s="35">
        <f>Y174*Z174*AB174</f>
        <v>900000</v>
      </c>
      <c r="AD174" s="250"/>
      <c r="AE174" s="251"/>
      <c r="AF174" s="103"/>
      <c r="AG174" s="266"/>
      <c r="AH174" s="103"/>
      <c r="AI174" s="238"/>
      <c r="AJ174" s="240"/>
      <c r="AK174" s="153"/>
      <c r="AL174" s="153"/>
      <c r="AM174" s="153"/>
      <c r="AN174" s="153"/>
      <c r="AO174" s="153"/>
      <c r="AP174" s="153"/>
      <c r="AQ174" s="153"/>
      <c r="AR174" s="153"/>
      <c r="AS174" s="153"/>
      <c r="AT174" s="153"/>
      <c r="AU174" s="153"/>
      <c r="AV174" s="153"/>
      <c r="AW174" s="153"/>
      <c r="AX174" s="153"/>
      <c r="AY174" s="153"/>
      <c r="AZ174" s="153"/>
      <c r="BA174" s="153"/>
      <c r="BB174" s="153"/>
      <c r="BC174" s="153"/>
      <c r="BD174" s="153"/>
      <c r="BE174" s="153"/>
      <c r="BF174" s="153"/>
      <c r="BG174" s="153"/>
      <c r="BH174" s="153"/>
      <c r="BI174" s="153"/>
      <c r="BJ174" s="153"/>
      <c r="BK174" s="153"/>
      <c r="BL174" s="153"/>
      <c r="BM174" s="153"/>
      <c r="BN174" s="153"/>
    </row>
    <row r="175" spans="1:66" s="28" customFormat="1" ht="56.25" customHeight="1">
      <c r="A175" s="262"/>
      <c r="B175" s="263"/>
      <c r="C175" s="60"/>
      <c r="D175" s="258"/>
      <c r="E175" s="258"/>
      <c r="F175" s="258"/>
      <c r="G175" s="258"/>
      <c r="H175" s="250"/>
      <c r="I175" s="256"/>
      <c r="J175" s="268"/>
      <c r="K175" s="268"/>
      <c r="L175" s="60"/>
      <c r="M175" s="269"/>
      <c r="N175" s="264"/>
      <c r="O175" s="264"/>
      <c r="P175" s="264"/>
      <c r="Q175" s="264"/>
      <c r="R175" s="264"/>
      <c r="S175" s="264"/>
      <c r="T175" s="264"/>
      <c r="U175" s="69" t="s">
        <v>670</v>
      </c>
      <c r="V175" s="39"/>
      <c r="W175" s="39"/>
      <c r="X175" s="39" t="s">
        <v>6</v>
      </c>
      <c r="Y175" s="61">
        <v>76</v>
      </c>
      <c r="Z175" s="48"/>
      <c r="AA175" s="79"/>
      <c r="AB175" s="80">
        <v>0</v>
      </c>
      <c r="AC175" s="35">
        <f t="shared" ref="AC175:AC178" si="29">Y175*Z175*AB175/100</f>
        <v>0</v>
      </c>
      <c r="AD175" s="250"/>
      <c r="AE175" s="251"/>
      <c r="AF175" s="103"/>
      <c r="AG175" s="266"/>
      <c r="AH175" s="103"/>
      <c r="AI175" s="238"/>
      <c r="AJ175" s="240"/>
      <c r="AK175" s="153"/>
      <c r="AL175" s="153"/>
      <c r="AM175" s="153"/>
      <c r="AN175" s="153"/>
      <c r="AO175" s="153"/>
      <c r="AP175" s="153"/>
      <c r="AQ175" s="153"/>
      <c r="AR175" s="153"/>
      <c r="AS175" s="153"/>
      <c r="AT175" s="153"/>
      <c r="AU175" s="153"/>
      <c r="AV175" s="153"/>
      <c r="AW175" s="153"/>
      <c r="AX175" s="153"/>
      <c r="AY175" s="153"/>
      <c r="AZ175" s="153"/>
      <c r="BA175" s="153"/>
      <c r="BB175" s="153"/>
      <c r="BC175" s="153"/>
      <c r="BD175" s="153"/>
      <c r="BE175" s="153"/>
      <c r="BF175" s="153"/>
      <c r="BG175" s="153"/>
      <c r="BH175" s="153"/>
      <c r="BI175" s="153"/>
      <c r="BJ175" s="153"/>
      <c r="BK175" s="153"/>
      <c r="BL175" s="153"/>
      <c r="BM175" s="153"/>
      <c r="BN175" s="153"/>
    </row>
    <row r="176" spans="1:66" s="28" customFormat="1" ht="31.5" customHeight="1">
      <c r="A176" s="262"/>
      <c r="B176" s="263"/>
      <c r="C176" s="60"/>
      <c r="D176" s="258"/>
      <c r="E176" s="258"/>
      <c r="F176" s="258"/>
      <c r="G176" s="258"/>
      <c r="H176" s="250"/>
      <c r="I176" s="256"/>
      <c r="J176" s="268"/>
      <c r="K176" s="268"/>
      <c r="L176" s="60"/>
      <c r="M176" s="269"/>
      <c r="N176" s="264"/>
      <c r="O176" s="264"/>
      <c r="P176" s="264"/>
      <c r="Q176" s="264"/>
      <c r="R176" s="264"/>
      <c r="S176" s="264"/>
      <c r="T176" s="264"/>
      <c r="U176" s="49" t="s">
        <v>671</v>
      </c>
      <c r="V176" s="39"/>
      <c r="W176" s="39"/>
      <c r="X176" s="41" t="s">
        <v>8</v>
      </c>
      <c r="Y176" s="61">
        <v>0.64</v>
      </c>
      <c r="Z176" s="48"/>
      <c r="AA176" s="79"/>
      <c r="AB176" s="80">
        <v>0</v>
      </c>
      <c r="AC176" s="35">
        <f t="shared" si="29"/>
        <v>0</v>
      </c>
      <c r="AD176" s="250"/>
      <c r="AE176" s="251"/>
      <c r="AF176" s="103"/>
      <c r="AG176" s="266"/>
      <c r="AH176" s="103"/>
      <c r="AI176" s="238"/>
      <c r="AJ176" s="240"/>
      <c r="AK176" s="153"/>
      <c r="AL176" s="153"/>
      <c r="AM176" s="153"/>
      <c r="AN176" s="153"/>
      <c r="AO176" s="153"/>
      <c r="AP176" s="153"/>
      <c r="AQ176" s="153"/>
      <c r="AR176" s="153"/>
      <c r="AS176" s="153"/>
      <c r="AT176" s="153"/>
      <c r="AU176" s="153"/>
      <c r="AV176" s="153"/>
      <c r="AW176" s="153"/>
      <c r="AX176" s="153"/>
      <c r="AY176" s="153"/>
      <c r="AZ176" s="153"/>
      <c r="BA176" s="153"/>
      <c r="BB176" s="153"/>
      <c r="BC176" s="153"/>
      <c r="BD176" s="153"/>
      <c r="BE176" s="153"/>
      <c r="BF176" s="153"/>
      <c r="BG176" s="153"/>
      <c r="BH176" s="153"/>
      <c r="BI176" s="153"/>
      <c r="BJ176" s="153"/>
      <c r="BK176" s="153"/>
      <c r="BL176" s="153"/>
      <c r="BM176" s="153"/>
      <c r="BN176" s="153"/>
    </row>
    <row r="177" spans="1:66" s="28" customFormat="1" ht="21" customHeight="1">
      <c r="A177" s="262"/>
      <c r="B177" s="263"/>
      <c r="C177" s="60"/>
      <c r="D177" s="258"/>
      <c r="E177" s="258"/>
      <c r="F177" s="258"/>
      <c r="G177" s="258"/>
      <c r="H177" s="250"/>
      <c r="I177" s="256"/>
      <c r="J177" s="268"/>
      <c r="K177" s="268"/>
      <c r="L177" s="60"/>
      <c r="M177" s="269"/>
      <c r="N177" s="264"/>
      <c r="O177" s="264"/>
      <c r="P177" s="264"/>
      <c r="Q177" s="264"/>
      <c r="R177" s="264"/>
      <c r="S177" s="264"/>
      <c r="T177" s="264"/>
      <c r="U177" s="49" t="s">
        <v>672</v>
      </c>
      <c r="V177" s="39"/>
      <c r="W177" s="39"/>
      <c r="X177" s="39" t="s">
        <v>6</v>
      </c>
      <c r="Y177" s="61">
        <v>37</v>
      </c>
      <c r="Z177" s="48"/>
      <c r="AA177" s="79"/>
      <c r="AB177" s="80">
        <v>0</v>
      </c>
      <c r="AC177" s="35"/>
      <c r="AD177" s="250"/>
      <c r="AE177" s="251"/>
      <c r="AF177" s="103"/>
      <c r="AG177" s="266"/>
      <c r="AH177" s="103"/>
      <c r="AI177" s="238"/>
      <c r="AJ177" s="240"/>
      <c r="AK177" s="153"/>
      <c r="AL177" s="153"/>
      <c r="AM177" s="153"/>
      <c r="AN177" s="153"/>
      <c r="AO177" s="153"/>
      <c r="AP177" s="153"/>
      <c r="AQ177" s="153"/>
      <c r="AR177" s="153"/>
      <c r="AS177" s="153"/>
      <c r="AT177" s="153"/>
      <c r="AU177" s="153"/>
      <c r="AV177" s="153"/>
      <c r="AW177" s="153"/>
      <c r="AX177" s="153"/>
      <c r="AY177" s="153"/>
      <c r="AZ177" s="153"/>
      <c r="BA177" s="153"/>
      <c r="BB177" s="153"/>
      <c r="BC177" s="153"/>
      <c r="BD177" s="153"/>
      <c r="BE177" s="153"/>
      <c r="BF177" s="153"/>
      <c r="BG177" s="153"/>
      <c r="BH177" s="153"/>
      <c r="BI177" s="153"/>
      <c r="BJ177" s="153"/>
      <c r="BK177" s="153"/>
      <c r="BL177" s="153"/>
      <c r="BM177" s="153"/>
      <c r="BN177" s="153"/>
    </row>
    <row r="178" spans="1:66" s="28" customFormat="1" ht="55.5" customHeight="1">
      <c r="A178" s="262"/>
      <c r="B178" s="263"/>
      <c r="C178" s="39" t="s">
        <v>33</v>
      </c>
      <c r="D178" s="258"/>
      <c r="E178" s="258"/>
      <c r="F178" s="258"/>
      <c r="G178" s="258"/>
      <c r="H178" s="250"/>
      <c r="I178" s="256"/>
      <c r="J178" s="268"/>
      <c r="K178" s="268"/>
      <c r="L178" s="39"/>
      <c r="M178" s="269"/>
      <c r="N178" s="264"/>
      <c r="O178" s="264"/>
      <c r="P178" s="264"/>
      <c r="Q178" s="264"/>
      <c r="R178" s="264"/>
      <c r="S178" s="264"/>
      <c r="T178" s="264"/>
      <c r="U178" s="49" t="s">
        <v>673</v>
      </c>
      <c r="V178" s="39"/>
      <c r="W178" s="39"/>
      <c r="X178" s="39" t="s">
        <v>6</v>
      </c>
      <c r="Y178" s="61">
        <v>6</v>
      </c>
      <c r="Z178" s="48"/>
      <c r="AA178" s="79"/>
      <c r="AB178" s="80">
        <v>0</v>
      </c>
      <c r="AC178" s="35">
        <f t="shared" si="29"/>
        <v>0</v>
      </c>
      <c r="AD178" s="250"/>
      <c r="AE178" s="251"/>
      <c r="AF178" s="103"/>
      <c r="AG178" s="267"/>
      <c r="AH178" s="103"/>
      <c r="AI178" s="238"/>
      <c r="AJ178" s="240"/>
      <c r="AK178" s="153"/>
      <c r="AL178" s="153"/>
      <c r="AM178" s="153"/>
      <c r="AN178" s="153"/>
      <c r="AO178" s="153"/>
      <c r="AP178" s="153"/>
      <c r="AQ178" s="153"/>
      <c r="AR178" s="153"/>
      <c r="AS178" s="153"/>
      <c r="AT178" s="153"/>
      <c r="AU178" s="153"/>
      <c r="AV178" s="153"/>
      <c r="AW178" s="153"/>
      <c r="AX178" s="153"/>
      <c r="AY178" s="153"/>
      <c r="AZ178" s="153"/>
      <c r="BA178" s="153"/>
      <c r="BB178" s="153"/>
      <c r="BC178" s="153"/>
      <c r="BD178" s="153"/>
      <c r="BE178" s="153"/>
      <c r="BF178" s="153"/>
      <c r="BG178" s="153"/>
      <c r="BH178" s="153"/>
      <c r="BI178" s="153"/>
      <c r="BJ178" s="153"/>
      <c r="BK178" s="153"/>
      <c r="BL178" s="153"/>
      <c r="BM178" s="153"/>
      <c r="BN178" s="153"/>
    </row>
    <row r="179" spans="1:66" s="28" customFormat="1" ht="39" customHeight="1">
      <c r="A179" s="262">
        <v>23</v>
      </c>
      <c r="B179" s="263" t="s">
        <v>674</v>
      </c>
      <c r="C179" s="258" t="s">
        <v>39</v>
      </c>
      <c r="D179" s="258">
        <v>64</v>
      </c>
      <c r="E179" s="258">
        <v>486</v>
      </c>
      <c r="F179" s="258">
        <v>1093.3</v>
      </c>
      <c r="G179" s="258" t="s">
        <v>28</v>
      </c>
      <c r="H179" s="256">
        <v>1093.5</v>
      </c>
      <c r="I179" s="256">
        <f>F179-H179</f>
        <v>-0.20000000000004547</v>
      </c>
      <c r="J179" s="257">
        <v>1093.3</v>
      </c>
      <c r="K179" s="251">
        <v>1800</v>
      </c>
      <c r="L179" s="258"/>
      <c r="M179" s="258">
        <f>J179/K179*100</f>
        <v>60.738888888888887</v>
      </c>
      <c r="N179" s="250">
        <v>6</v>
      </c>
      <c r="O179" s="250">
        <v>4</v>
      </c>
      <c r="P179" s="250">
        <v>80000</v>
      </c>
      <c r="Q179" s="250">
        <f>P179*J179</f>
        <v>87464000</v>
      </c>
      <c r="R179" s="250">
        <f>Q179*3</f>
        <v>262392000</v>
      </c>
      <c r="S179" s="250">
        <f>N179*O179*17000*30</f>
        <v>12240000</v>
      </c>
      <c r="T179" s="250">
        <f>SUM(Q179:S190)</f>
        <v>362096000</v>
      </c>
      <c r="U179" s="65" t="s">
        <v>457</v>
      </c>
      <c r="V179" s="50">
        <v>25</v>
      </c>
      <c r="W179" s="50">
        <f>J179/V179</f>
        <v>43.731999999999999</v>
      </c>
      <c r="X179" s="39" t="s">
        <v>2</v>
      </c>
      <c r="Y179" s="35">
        <v>15</v>
      </c>
      <c r="Z179" s="62"/>
      <c r="AA179" s="79"/>
      <c r="AB179" s="80"/>
      <c r="AC179" s="35">
        <f t="shared" ref="AC179:AC190" si="30">Y179*Z179*AB179</f>
        <v>0</v>
      </c>
      <c r="AD179" s="250">
        <f>SUM(AC179:AC190)</f>
        <v>180100000</v>
      </c>
      <c r="AE179" s="251">
        <f>T179+AD179</f>
        <v>542196000</v>
      </c>
      <c r="AF179" s="104">
        <f>Y179*25</f>
        <v>375</v>
      </c>
      <c r="AG179" s="103" t="s">
        <v>513</v>
      </c>
      <c r="AH179" s="103"/>
      <c r="AI179" s="238" t="s">
        <v>675</v>
      </c>
      <c r="AJ179" s="240" t="s">
        <v>681</v>
      </c>
      <c r="AK179" s="153"/>
      <c r="AL179" s="153"/>
      <c r="AM179" s="153"/>
      <c r="AN179" s="153"/>
      <c r="AO179" s="153"/>
      <c r="AP179" s="153"/>
      <c r="AQ179" s="153"/>
      <c r="AR179" s="153"/>
      <c r="AS179" s="153"/>
      <c r="AT179" s="153"/>
      <c r="AU179" s="153"/>
      <c r="AV179" s="153"/>
      <c r="AW179" s="153"/>
      <c r="AX179" s="153"/>
      <c r="AY179" s="153"/>
      <c r="AZ179" s="153"/>
      <c r="BA179" s="153"/>
      <c r="BB179" s="153"/>
      <c r="BC179" s="153"/>
      <c r="BD179" s="153"/>
      <c r="BE179" s="153"/>
      <c r="BF179" s="153"/>
      <c r="BG179" s="153"/>
      <c r="BH179" s="153"/>
      <c r="BI179" s="153"/>
      <c r="BJ179" s="153"/>
      <c r="BK179" s="153"/>
      <c r="BL179" s="153"/>
      <c r="BM179" s="153"/>
      <c r="BN179" s="153"/>
    </row>
    <row r="180" spans="1:66" s="28" customFormat="1" ht="21" customHeight="1">
      <c r="A180" s="262"/>
      <c r="B180" s="263"/>
      <c r="C180" s="258"/>
      <c r="D180" s="258"/>
      <c r="E180" s="258"/>
      <c r="F180" s="258"/>
      <c r="G180" s="258"/>
      <c r="H180" s="256"/>
      <c r="I180" s="256"/>
      <c r="J180" s="257"/>
      <c r="K180" s="251"/>
      <c r="L180" s="258"/>
      <c r="M180" s="258"/>
      <c r="N180" s="250"/>
      <c r="O180" s="250"/>
      <c r="P180" s="250"/>
      <c r="Q180" s="250"/>
      <c r="R180" s="250"/>
      <c r="S180" s="250"/>
      <c r="T180" s="250"/>
      <c r="U180" s="67" t="s">
        <v>421</v>
      </c>
      <c r="V180" s="50"/>
      <c r="W180" s="50"/>
      <c r="X180" s="39" t="s">
        <v>2</v>
      </c>
      <c r="Y180" s="35">
        <v>15</v>
      </c>
      <c r="Z180" s="62">
        <v>4500000</v>
      </c>
      <c r="AA180" s="79"/>
      <c r="AB180" s="80">
        <v>1</v>
      </c>
      <c r="AC180" s="35">
        <f t="shared" si="30"/>
        <v>67500000</v>
      </c>
      <c r="AD180" s="250"/>
      <c r="AE180" s="251"/>
      <c r="AF180" s="104"/>
      <c r="AG180" s="103"/>
      <c r="AH180" s="103"/>
      <c r="AI180" s="238"/>
      <c r="AJ180" s="240"/>
      <c r="AK180" s="153"/>
      <c r="AL180" s="153"/>
      <c r="AM180" s="153"/>
      <c r="AN180" s="153"/>
      <c r="AO180" s="153"/>
      <c r="AP180" s="153"/>
      <c r="AQ180" s="153"/>
      <c r="AR180" s="153"/>
      <c r="AS180" s="153"/>
      <c r="AT180" s="153"/>
      <c r="AU180" s="153"/>
      <c r="AV180" s="153"/>
      <c r="AW180" s="153"/>
      <c r="AX180" s="153"/>
      <c r="AY180" s="153"/>
      <c r="AZ180" s="153"/>
      <c r="BA180" s="153"/>
      <c r="BB180" s="153"/>
      <c r="BC180" s="153"/>
      <c r="BD180" s="153"/>
      <c r="BE180" s="153"/>
      <c r="BF180" s="153"/>
      <c r="BG180" s="153"/>
      <c r="BH180" s="153"/>
      <c r="BI180" s="153"/>
      <c r="BJ180" s="153"/>
      <c r="BK180" s="153"/>
      <c r="BL180" s="153"/>
      <c r="BM180" s="153"/>
      <c r="BN180" s="153"/>
    </row>
    <row r="181" spans="1:66" s="28" customFormat="1" ht="33" customHeight="1">
      <c r="A181" s="262"/>
      <c r="B181" s="263"/>
      <c r="C181" s="258"/>
      <c r="D181" s="258"/>
      <c r="E181" s="258"/>
      <c r="F181" s="258"/>
      <c r="G181" s="258"/>
      <c r="H181" s="256"/>
      <c r="I181" s="256"/>
      <c r="J181" s="257"/>
      <c r="K181" s="251"/>
      <c r="L181" s="258"/>
      <c r="M181" s="258"/>
      <c r="N181" s="250"/>
      <c r="O181" s="250"/>
      <c r="P181" s="250"/>
      <c r="Q181" s="250"/>
      <c r="R181" s="250"/>
      <c r="S181" s="250"/>
      <c r="T181" s="250"/>
      <c r="U181" s="65" t="s">
        <v>453</v>
      </c>
      <c r="V181" s="50"/>
      <c r="W181" s="50"/>
      <c r="X181" s="39" t="s">
        <v>2</v>
      </c>
      <c r="Y181" s="35">
        <v>22</v>
      </c>
      <c r="Z181" s="62"/>
      <c r="AA181" s="79"/>
      <c r="AB181" s="80"/>
      <c r="AC181" s="35">
        <f t="shared" si="30"/>
        <v>0</v>
      </c>
      <c r="AD181" s="250"/>
      <c r="AE181" s="251"/>
      <c r="AF181" s="104">
        <f t="shared" ref="AF181:AF183" si="31">Y181*25</f>
        <v>550</v>
      </c>
      <c r="AG181" s="103"/>
      <c r="AH181" s="103"/>
      <c r="AI181" s="238"/>
      <c r="AJ181" s="240"/>
      <c r="AK181" s="153"/>
      <c r="AL181" s="153"/>
      <c r="AM181" s="153"/>
      <c r="AN181" s="153"/>
      <c r="AO181" s="153"/>
      <c r="AP181" s="153"/>
      <c r="AQ181" s="153"/>
      <c r="AR181" s="153"/>
      <c r="AS181" s="153"/>
      <c r="AT181" s="153"/>
      <c r="AU181" s="153"/>
      <c r="AV181" s="153"/>
      <c r="AW181" s="153"/>
      <c r="AX181" s="153"/>
      <c r="AY181" s="153"/>
      <c r="AZ181" s="153"/>
      <c r="BA181" s="153"/>
      <c r="BB181" s="153"/>
      <c r="BC181" s="153"/>
      <c r="BD181" s="153"/>
      <c r="BE181" s="153"/>
      <c r="BF181" s="153"/>
      <c r="BG181" s="153"/>
      <c r="BH181" s="153"/>
      <c r="BI181" s="153"/>
      <c r="BJ181" s="153"/>
      <c r="BK181" s="153"/>
      <c r="BL181" s="153"/>
      <c r="BM181" s="153"/>
      <c r="BN181" s="153"/>
    </row>
    <row r="182" spans="1:66" s="28" customFormat="1" ht="30" customHeight="1">
      <c r="A182" s="262"/>
      <c r="B182" s="263"/>
      <c r="C182" s="258"/>
      <c r="D182" s="258"/>
      <c r="E182" s="258"/>
      <c r="F182" s="258"/>
      <c r="G182" s="258"/>
      <c r="H182" s="256"/>
      <c r="I182" s="256"/>
      <c r="J182" s="257"/>
      <c r="K182" s="251"/>
      <c r="L182" s="258"/>
      <c r="M182" s="258"/>
      <c r="N182" s="250"/>
      <c r="O182" s="250"/>
      <c r="P182" s="250"/>
      <c r="Q182" s="250"/>
      <c r="R182" s="250"/>
      <c r="S182" s="250"/>
      <c r="T182" s="250"/>
      <c r="U182" s="67" t="s">
        <v>421</v>
      </c>
      <c r="V182" s="50"/>
      <c r="W182" s="50"/>
      <c r="X182" s="39" t="s">
        <v>2</v>
      </c>
      <c r="Y182" s="35">
        <v>22</v>
      </c>
      <c r="Z182" s="62">
        <v>3850000</v>
      </c>
      <c r="AA182" s="79"/>
      <c r="AB182" s="80">
        <v>1</v>
      </c>
      <c r="AC182" s="35">
        <f t="shared" si="30"/>
        <v>84700000</v>
      </c>
      <c r="AD182" s="250"/>
      <c r="AE182" s="251"/>
      <c r="AF182" s="104"/>
      <c r="AG182" s="103"/>
      <c r="AH182" s="103"/>
      <c r="AI182" s="238"/>
      <c r="AJ182" s="240"/>
      <c r="AK182" s="153"/>
      <c r="AL182" s="153"/>
      <c r="AM182" s="153"/>
      <c r="AN182" s="153"/>
      <c r="AO182" s="153"/>
      <c r="AP182" s="153"/>
      <c r="AQ182" s="153"/>
      <c r="AR182" s="153"/>
      <c r="AS182" s="153"/>
      <c r="AT182" s="153"/>
      <c r="AU182" s="153"/>
      <c r="AV182" s="153"/>
      <c r="AW182" s="153"/>
      <c r="AX182" s="153"/>
      <c r="AY182" s="153"/>
      <c r="AZ182" s="153"/>
      <c r="BA182" s="153"/>
      <c r="BB182" s="153"/>
      <c r="BC182" s="153"/>
      <c r="BD182" s="153"/>
      <c r="BE182" s="153"/>
      <c r="BF182" s="153"/>
      <c r="BG182" s="153"/>
      <c r="BH182" s="153"/>
      <c r="BI182" s="153"/>
      <c r="BJ182" s="153"/>
      <c r="BK182" s="153"/>
      <c r="BL182" s="153"/>
      <c r="BM182" s="153"/>
      <c r="BN182" s="153"/>
    </row>
    <row r="183" spans="1:66" s="28" customFormat="1" ht="55.5" customHeight="1">
      <c r="A183" s="262"/>
      <c r="B183" s="263"/>
      <c r="C183" s="258"/>
      <c r="D183" s="258"/>
      <c r="E183" s="258"/>
      <c r="F183" s="258"/>
      <c r="G183" s="258"/>
      <c r="H183" s="256"/>
      <c r="I183" s="256"/>
      <c r="J183" s="257"/>
      <c r="K183" s="251"/>
      <c r="L183" s="258"/>
      <c r="M183" s="258"/>
      <c r="N183" s="250"/>
      <c r="O183" s="250"/>
      <c r="P183" s="250"/>
      <c r="Q183" s="250"/>
      <c r="R183" s="250"/>
      <c r="S183" s="250"/>
      <c r="T183" s="250"/>
      <c r="U183" s="65" t="s">
        <v>676</v>
      </c>
      <c r="V183" s="50"/>
      <c r="W183" s="50"/>
      <c r="X183" s="39" t="s">
        <v>2</v>
      </c>
      <c r="Y183" s="35">
        <v>7</v>
      </c>
      <c r="Z183" s="62"/>
      <c r="AA183" s="79"/>
      <c r="AB183" s="80"/>
      <c r="AC183" s="35">
        <f t="shared" si="30"/>
        <v>0</v>
      </c>
      <c r="AD183" s="250"/>
      <c r="AE183" s="251"/>
      <c r="AF183" s="104">
        <f t="shared" si="31"/>
        <v>175</v>
      </c>
      <c r="AG183" s="103"/>
      <c r="AH183" s="103"/>
      <c r="AI183" s="238"/>
      <c r="AJ183" s="240"/>
      <c r="AK183" s="153"/>
      <c r="AL183" s="153"/>
      <c r="AM183" s="153"/>
      <c r="AN183" s="153"/>
      <c r="AO183" s="153"/>
      <c r="AP183" s="153"/>
      <c r="AQ183" s="153"/>
      <c r="AR183" s="153"/>
      <c r="AS183" s="153"/>
      <c r="AT183" s="153"/>
      <c r="AU183" s="153"/>
      <c r="AV183" s="153"/>
      <c r="AW183" s="153"/>
      <c r="AX183" s="153"/>
      <c r="AY183" s="153"/>
      <c r="AZ183" s="153"/>
      <c r="BA183" s="153"/>
      <c r="BB183" s="153"/>
      <c r="BC183" s="153"/>
      <c r="BD183" s="153"/>
      <c r="BE183" s="153"/>
      <c r="BF183" s="153"/>
      <c r="BG183" s="153"/>
      <c r="BH183" s="153"/>
      <c r="BI183" s="153"/>
      <c r="BJ183" s="153"/>
      <c r="BK183" s="153"/>
      <c r="BL183" s="153"/>
      <c r="BM183" s="153"/>
      <c r="BN183" s="153"/>
    </row>
    <row r="184" spans="1:66" s="28" customFormat="1" ht="32.25" customHeight="1">
      <c r="A184" s="262"/>
      <c r="B184" s="263"/>
      <c r="C184" s="258"/>
      <c r="D184" s="258"/>
      <c r="E184" s="258"/>
      <c r="F184" s="258"/>
      <c r="G184" s="258"/>
      <c r="H184" s="256"/>
      <c r="I184" s="256"/>
      <c r="J184" s="257"/>
      <c r="K184" s="251"/>
      <c r="L184" s="258"/>
      <c r="M184" s="258"/>
      <c r="N184" s="250"/>
      <c r="O184" s="250"/>
      <c r="P184" s="250"/>
      <c r="Q184" s="250"/>
      <c r="R184" s="250"/>
      <c r="S184" s="250"/>
      <c r="T184" s="250"/>
      <c r="U184" s="67" t="s">
        <v>421</v>
      </c>
      <c r="V184" s="50"/>
      <c r="W184" s="50"/>
      <c r="X184" s="39" t="s">
        <v>2</v>
      </c>
      <c r="Y184" s="35">
        <v>7</v>
      </c>
      <c r="Z184" s="62">
        <v>2700000</v>
      </c>
      <c r="AA184" s="79"/>
      <c r="AB184" s="80">
        <v>1</v>
      </c>
      <c r="AC184" s="35">
        <f t="shared" si="30"/>
        <v>18900000</v>
      </c>
      <c r="AD184" s="250"/>
      <c r="AE184" s="251"/>
      <c r="AF184" s="104"/>
      <c r="AG184" s="103"/>
      <c r="AH184" s="103"/>
      <c r="AI184" s="238"/>
      <c r="AJ184" s="240"/>
      <c r="AK184" s="153"/>
      <c r="AL184" s="153"/>
      <c r="AM184" s="153"/>
      <c r="AN184" s="153"/>
      <c r="AO184" s="153"/>
      <c r="AP184" s="153"/>
      <c r="AQ184" s="153"/>
      <c r="AR184" s="153"/>
      <c r="AS184" s="153"/>
      <c r="AT184" s="153"/>
      <c r="AU184" s="153"/>
      <c r="AV184" s="153"/>
      <c r="AW184" s="153"/>
      <c r="AX184" s="153"/>
      <c r="AY184" s="153"/>
      <c r="AZ184" s="153"/>
      <c r="BA184" s="153"/>
      <c r="BB184" s="153"/>
      <c r="BC184" s="153"/>
      <c r="BD184" s="153"/>
      <c r="BE184" s="153"/>
      <c r="BF184" s="153"/>
      <c r="BG184" s="153"/>
      <c r="BH184" s="153"/>
      <c r="BI184" s="153"/>
      <c r="BJ184" s="153"/>
      <c r="BK184" s="153"/>
      <c r="BL184" s="153"/>
      <c r="BM184" s="153"/>
      <c r="BN184" s="153"/>
    </row>
    <row r="185" spans="1:66" s="28" customFormat="1" ht="55.5" customHeight="1">
      <c r="A185" s="262"/>
      <c r="B185" s="263"/>
      <c r="C185" s="258"/>
      <c r="D185" s="258"/>
      <c r="E185" s="258"/>
      <c r="F185" s="258"/>
      <c r="G185" s="258"/>
      <c r="H185" s="256"/>
      <c r="I185" s="256"/>
      <c r="J185" s="257"/>
      <c r="K185" s="251"/>
      <c r="L185" s="258"/>
      <c r="M185" s="258"/>
      <c r="N185" s="250"/>
      <c r="O185" s="250"/>
      <c r="P185" s="250"/>
      <c r="Q185" s="250"/>
      <c r="R185" s="250"/>
      <c r="S185" s="250"/>
      <c r="T185" s="250"/>
      <c r="U185" s="65" t="s">
        <v>459</v>
      </c>
      <c r="V185" s="50">
        <v>20</v>
      </c>
      <c r="W185" s="50">
        <f>J179/V185</f>
        <v>54.664999999999999</v>
      </c>
      <c r="X185" s="39" t="s">
        <v>2</v>
      </c>
      <c r="Y185" s="35">
        <v>12</v>
      </c>
      <c r="Z185" s="62"/>
      <c r="AA185" s="79"/>
      <c r="AB185" s="80"/>
      <c r="AC185" s="35">
        <f t="shared" si="30"/>
        <v>0</v>
      </c>
      <c r="AD185" s="250"/>
      <c r="AE185" s="251"/>
      <c r="AF185" s="104"/>
      <c r="AG185" s="103"/>
      <c r="AH185" s="103"/>
      <c r="AI185" s="238"/>
      <c r="AJ185" s="240"/>
      <c r="AK185" s="153"/>
      <c r="AL185" s="153"/>
      <c r="AM185" s="153"/>
      <c r="AN185" s="153"/>
      <c r="AO185" s="153"/>
      <c r="AP185" s="153"/>
      <c r="AQ185" s="153"/>
      <c r="AR185" s="153"/>
      <c r="AS185" s="153"/>
      <c r="AT185" s="153"/>
      <c r="AU185" s="153"/>
      <c r="AV185" s="153"/>
      <c r="AW185" s="153"/>
      <c r="AX185" s="153"/>
      <c r="AY185" s="153"/>
      <c r="AZ185" s="153"/>
      <c r="BA185" s="153"/>
      <c r="BB185" s="153"/>
      <c r="BC185" s="153"/>
      <c r="BD185" s="153"/>
      <c r="BE185" s="153"/>
      <c r="BF185" s="153"/>
      <c r="BG185" s="153"/>
      <c r="BH185" s="153"/>
      <c r="BI185" s="153"/>
      <c r="BJ185" s="153"/>
      <c r="BK185" s="153"/>
      <c r="BL185" s="153"/>
      <c r="BM185" s="153"/>
      <c r="BN185" s="153"/>
    </row>
    <row r="186" spans="1:66" s="28" customFormat="1" ht="31.5" customHeight="1">
      <c r="A186" s="262"/>
      <c r="B186" s="263"/>
      <c r="C186" s="258"/>
      <c r="D186" s="258"/>
      <c r="E186" s="258"/>
      <c r="F186" s="258"/>
      <c r="G186" s="258"/>
      <c r="H186" s="256"/>
      <c r="I186" s="256"/>
      <c r="J186" s="257"/>
      <c r="K186" s="251"/>
      <c r="L186" s="258"/>
      <c r="M186" s="258"/>
      <c r="N186" s="250"/>
      <c r="O186" s="250"/>
      <c r="P186" s="250"/>
      <c r="Q186" s="250"/>
      <c r="R186" s="250"/>
      <c r="S186" s="250"/>
      <c r="T186" s="250"/>
      <c r="U186" s="67" t="s">
        <v>421</v>
      </c>
      <c r="V186" s="50"/>
      <c r="W186" s="50"/>
      <c r="X186" s="39" t="s">
        <v>2</v>
      </c>
      <c r="Y186" s="35">
        <v>12</v>
      </c>
      <c r="Z186" s="62">
        <v>2500000</v>
      </c>
      <c r="AA186" s="79"/>
      <c r="AB186" s="80">
        <v>0.3</v>
      </c>
      <c r="AC186" s="35">
        <f t="shared" si="30"/>
        <v>9000000</v>
      </c>
      <c r="AD186" s="250"/>
      <c r="AE186" s="251"/>
      <c r="AF186" s="104"/>
      <c r="AG186" s="103"/>
      <c r="AH186" s="103"/>
      <c r="AI186" s="238"/>
      <c r="AJ186" s="240"/>
      <c r="AK186" s="153"/>
      <c r="AL186" s="153"/>
      <c r="AM186" s="153"/>
      <c r="AN186" s="153"/>
      <c r="AO186" s="153"/>
      <c r="AP186" s="153"/>
      <c r="AQ186" s="153"/>
      <c r="AR186" s="153"/>
      <c r="AS186" s="153"/>
      <c r="AT186" s="153"/>
      <c r="AU186" s="153"/>
      <c r="AV186" s="153"/>
      <c r="AW186" s="153"/>
      <c r="AX186" s="153"/>
      <c r="AY186" s="153"/>
      <c r="AZ186" s="153"/>
      <c r="BA186" s="153"/>
      <c r="BB186" s="153"/>
      <c r="BC186" s="153"/>
      <c r="BD186" s="153"/>
      <c r="BE186" s="153"/>
      <c r="BF186" s="153"/>
      <c r="BG186" s="153"/>
      <c r="BH186" s="153"/>
      <c r="BI186" s="153"/>
      <c r="BJ186" s="153"/>
      <c r="BK186" s="153"/>
      <c r="BL186" s="153"/>
      <c r="BM186" s="153"/>
      <c r="BN186" s="153"/>
    </row>
    <row r="187" spans="1:66" s="28" customFormat="1" ht="55.5" customHeight="1">
      <c r="A187" s="262"/>
      <c r="B187" s="263"/>
      <c r="C187" s="258"/>
      <c r="D187" s="258"/>
      <c r="E187" s="258"/>
      <c r="F187" s="258"/>
      <c r="G187" s="258"/>
      <c r="H187" s="256"/>
      <c r="I187" s="256"/>
      <c r="J187" s="257"/>
      <c r="K187" s="251"/>
      <c r="L187" s="258"/>
      <c r="M187" s="258"/>
      <c r="N187" s="250"/>
      <c r="O187" s="250"/>
      <c r="P187" s="250"/>
      <c r="Q187" s="250"/>
      <c r="R187" s="250"/>
      <c r="S187" s="250"/>
      <c r="T187" s="250"/>
      <c r="U187" s="65" t="s">
        <v>677</v>
      </c>
      <c r="V187" s="50">
        <v>10</v>
      </c>
      <c r="W187" s="50">
        <f>J179/V187</f>
        <v>109.33</v>
      </c>
      <c r="X187" s="39" t="s">
        <v>2</v>
      </c>
      <c r="Y187" s="35">
        <v>20</v>
      </c>
      <c r="Z187" s="48">
        <v>95000</v>
      </c>
      <c r="AA187" s="79"/>
      <c r="AB187" s="80">
        <v>0</v>
      </c>
      <c r="AC187" s="35">
        <f t="shared" si="30"/>
        <v>0</v>
      </c>
      <c r="AD187" s="250"/>
      <c r="AE187" s="251"/>
      <c r="AF187" s="104"/>
      <c r="AG187" s="103" t="s">
        <v>678</v>
      </c>
      <c r="AH187" s="103"/>
      <c r="AI187" s="238"/>
      <c r="AJ187" s="240"/>
      <c r="AK187" s="153"/>
      <c r="AL187" s="153"/>
      <c r="AM187" s="153"/>
      <c r="AN187" s="153"/>
      <c r="AO187" s="153"/>
      <c r="AP187" s="153"/>
      <c r="AQ187" s="153"/>
      <c r="AR187" s="153"/>
      <c r="AS187" s="153"/>
      <c r="AT187" s="153"/>
      <c r="AU187" s="153"/>
      <c r="AV187" s="153"/>
      <c r="AW187" s="153"/>
      <c r="AX187" s="153"/>
      <c r="AY187" s="153"/>
      <c r="AZ187" s="153"/>
      <c r="BA187" s="153"/>
      <c r="BB187" s="153"/>
      <c r="BC187" s="153"/>
      <c r="BD187" s="153"/>
      <c r="BE187" s="153"/>
      <c r="BF187" s="153"/>
      <c r="BG187" s="153"/>
      <c r="BH187" s="153"/>
      <c r="BI187" s="153"/>
      <c r="BJ187" s="153"/>
      <c r="BK187" s="153"/>
      <c r="BL187" s="153"/>
      <c r="BM187" s="153"/>
      <c r="BN187" s="153"/>
    </row>
    <row r="188" spans="1:66" s="28" customFormat="1" ht="23.25" customHeight="1">
      <c r="A188" s="262"/>
      <c r="B188" s="263"/>
      <c r="C188" s="258"/>
      <c r="D188" s="258"/>
      <c r="E188" s="258"/>
      <c r="F188" s="258"/>
      <c r="G188" s="258"/>
      <c r="H188" s="256"/>
      <c r="I188" s="256"/>
      <c r="J188" s="257"/>
      <c r="K188" s="251"/>
      <c r="L188" s="258"/>
      <c r="M188" s="258"/>
      <c r="N188" s="250"/>
      <c r="O188" s="250"/>
      <c r="P188" s="250"/>
      <c r="Q188" s="250"/>
      <c r="R188" s="250"/>
      <c r="S188" s="250"/>
      <c r="T188" s="250"/>
      <c r="U188" s="49" t="s">
        <v>525</v>
      </c>
      <c r="V188" s="39"/>
      <c r="W188" s="39"/>
      <c r="X188" s="39" t="s">
        <v>399</v>
      </c>
      <c r="Y188" s="35">
        <v>1</v>
      </c>
      <c r="Z188" s="62"/>
      <c r="AA188" s="79"/>
      <c r="AB188" s="80">
        <v>0</v>
      </c>
      <c r="AC188" s="35">
        <f t="shared" si="30"/>
        <v>0</v>
      </c>
      <c r="AD188" s="250"/>
      <c r="AE188" s="251"/>
      <c r="AF188" s="104"/>
      <c r="AG188" s="103"/>
      <c r="AH188" s="103"/>
      <c r="AI188" s="238"/>
      <c r="AJ188" s="240"/>
      <c r="AK188" s="153"/>
      <c r="AL188" s="153"/>
      <c r="AM188" s="153"/>
      <c r="AN188" s="153"/>
      <c r="AO188" s="153"/>
      <c r="AP188" s="153"/>
      <c r="AQ188" s="153"/>
      <c r="AR188" s="153"/>
      <c r="AS188" s="153"/>
      <c r="AT188" s="153"/>
      <c r="AU188" s="153"/>
      <c r="AV188" s="153"/>
      <c r="AW188" s="153"/>
      <c r="AX188" s="153"/>
      <c r="AY188" s="153"/>
      <c r="AZ188" s="153"/>
      <c r="BA188" s="153"/>
      <c r="BB188" s="153"/>
      <c r="BC188" s="153"/>
      <c r="BD188" s="153"/>
      <c r="BE188" s="153"/>
      <c r="BF188" s="153"/>
      <c r="BG188" s="153"/>
      <c r="BH188" s="153"/>
      <c r="BI188" s="153"/>
      <c r="BJ188" s="153"/>
      <c r="BK188" s="153"/>
      <c r="BL188" s="153"/>
      <c r="BM188" s="153"/>
      <c r="BN188" s="153"/>
    </row>
    <row r="189" spans="1:66" s="28" customFormat="1" ht="39.75" customHeight="1">
      <c r="A189" s="262"/>
      <c r="B189" s="263"/>
      <c r="C189" s="258"/>
      <c r="D189" s="258"/>
      <c r="E189" s="258"/>
      <c r="F189" s="258"/>
      <c r="G189" s="258"/>
      <c r="H189" s="256"/>
      <c r="I189" s="256"/>
      <c r="J189" s="257"/>
      <c r="K189" s="251"/>
      <c r="L189" s="258"/>
      <c r="M189" s="258"/>
      <c r="N189" s="250"/>
      <c r="O189" s="250"/>
      <c r="P189" s="250"/>
      <c r="Q189" s="250"/>
      <c r="R189" s="250"/>
      <c r="S189" s="250"/>
      <c r="T189" s="250"/>
      <c r="U189" s="49" t="s">
        <v>679</v>
      </c>
      <c r="V189" s="39"/>
      <c r="W189" s="39"/>
      <c r="X189" s="41" t="s">
        <v>8</v>
      </c>
      <c r="Y189" s="61">
        <v>1.2</v>
      </c>
      <c r="Z189" s="48"/>
      <c r="AA189" s="79"/>
      <c r="AB189" s="80">
        <v>0</v>
      </c>
      <c r="AC189" s="35">
        <f t="shared" si="30"/>
        <v>0</v>
      </c>
      <c r="AD189" s="250"/>
      <c r="AE189" s="251"/>
      <c r="AF189" s="104"/>
      <c r="AG189" s="103"/>
      <c r="AH189" s="103"/>
      <c r="AI189" s="238"/>
      <c r="AJ189" s="240"/>
      <c r="AK189" s="153"/>
      <c r="AL189" s="153"/>
      <c r="AM189" s="153"/>
      <c r="AN189" s="153"/>
      <c r="AO189" s="153"/>
      <c r="AP189" s="153"/>
      <c r="AQ189" s="153"/>
      <c r="AR189" s="153"/>
      <c r="AS189" s="153"/>
      <c r="AT189" s="153"/>
      <c r="AU189" s="153"/>
      <c r="AV189" s="153"/>
      <c r="AW189" s="153"/>
      <c r="AX189" s="153"/>
      <c r="AY189" s="153"/>
      <c r="AZ189" s="153"/>
      <c r="BA189" s="153"/>
      <c r="BB189" s="153"/>
      <c r="BC189" s="153"/>
      <c r="BD189" s="153"/>
      <c r="BE189" s="153"/>
      <c r="BF189" s="153"/>
      <c r="BG189" s="153"/>
      <c r="BH189" s="153"/>
      <c r="BI189" s="153"/>
      <c r="BJ189" s="153"/>
      <c r="BK189" s="153"/>
      <c r="BL189" s="153"/>
      <c r="BM189" s="153"/>
      <c r="BN189" s="153"/>
    </row>
    <row r="190" spans="1:66" s="28" customFormat="1" ht="23.25" customHeight="1">
      <c r="A190" s="262"/>
      <c r="B190" s="263"/>
      <c r="C190" s="258"/>
      <c r="D190" s="258"/>
      <c r="E190" s="258"/>
      <c r="F190" s="258"/>
      <c r="G190" s="258"/>
      <c r="H190" s="256"/>
      <c r="I190" s="256"/>
      <c r="J190" s="257"/>
      <c r="K190" s="251"/>
      <c r="L190" s="258"/>
      <c r="M190" s="258"/>
      <c r="N190" s="250"/>
      <c r="O190" s="250"/>
      <c r="P190" s="250"/>
      <c r="Q190" s="250"/>
      <c r="R190" s="250"/>
      <c r="S190" s="250"/>
      <c r="T190" s="250"/>
      <c r="U190" s="69" t="s">
        <v>680</v>
      </c>
      <c r="V190" s="60"/>
      <c r="W190" s="60"/>
      <c r="X190" s="39" t="s">
        <v>6</v>
      </c>
      <c r="Y190" s="61">
        <v>4</v>
      </c>
      <c r="Z190" s="48"/>
      <c r="AA190" s="79"/>
      <c r="AB190" s="80">
        <v>0</v>
      </c>
      <c r="AC190" s="35">
        <f t="shared" si="30"/>
        <v>0</v>
      </c>
      <c r="AD190" s="250"/>
      <c r="AE190" s="251"/>
      <c r="AF190" s="105"/>
      <c r="AG190" s="103"/>
      <c r="AH190" s="103"/>
      <c r="AI190" s="238"/>
      <c r="AJ190" s="240"/>
      <c r="AK190" s="153"/>
      <c r="AL190" s="153"/>
      <c r="AM190" s="153"/>
      <c r="AN190" s="153"/>
      <c r="AO190" s="153"/>
      <c r="AP190" s="153"/>
      <c r="AQ190" s="153"/>
      <c r="AR190" s="153"/>
      <c r="AS190" s="153"/>
      <c r="AT190" s="153"/>
      <c r="AU190" s="153"/>
      <c r="AV190" s="153"/>
      <c r="AW190" s="153"/>
      <c r="AX190" s="153"/>
      <c r="AY190" s="153"/>
      <c r="AZ190" s="153"/>
      <c r="BA190" s="153"/>
      <c r="BB190" s="153"/>
      <c r="BC190" s="153"/>
      <c r="BD190" s="153"/>
      <c r="BE190" s="153"/>
      <c r="BF190" s="153"/>
      <c r="BG190" s="153"/>
      <c r="BH190" s="153"/>
      <c r="BI190" s="153"/>
      <c r="BJ190" s="153"/>
      <c r="BK190" s="153"/>
      <c r="BL190" s="153"/>
      <c r="BM190" s="153"/>
      <c r="BN190" s="153"/>
    </row>
    <row r="191" spans="1:66" ht="38.25" customHeight="1">
      <c r="A191" s="30"/>
      <c r="B191" s="30" t="s">
        <v>617</v>
      </c>
      <c r="C191" s="34"/>
      <c r="D191" s="34"/>
      <c r="E191" s="34"/>
      <c r="F191" s="93">
        <f>SUM(F9:F190)</f>
        <v>16503.8</v>
      </c>
      <c r="G191" s="93"/>
      <c r="H191" s="93">
        <f>SUM(H9:H190)</f>
        <v>16599.400000000001</v>
      </c>
      <c r="I191" s="93">
        <f>SUM(I9:I190)</f>
        <v>-95.600000000000421</v>
      </c>
      <c r="J191" s="92">
        <f>SUM(J9:J190)</f>
        <v>16599.2</v>
      </c>
      <c r="K191" s="93"/>
      <c r="L191" s="93">
        <f>SUM(L9:L190)</f>
        <v>2736</v>
      </c>
      <c r="M191" s="93"/>
      <c r="N191" s="93"/>
      <c r="O191" s="106">
        <f>SUM(O9:O190)</f>
        <v>117</v>
      </c>
      <c r="P191" s="93"/>
      <c r="Q191" s="32">
        <f>SUM(Q9:Q190)</f>
        <v>1327936000</v>
      </c>
      <c r="R191" s="32">
        <f>SUM(R9:R190)</f>
        <v>3983808000</v>
      </c>
      <c r="S191" s="32">
        <f>SUM(S9:S190)</f>
        <v>544170000</v>
      </c>
      <c r="T191" s="32">
        <f>SUM(T9:T190)</f>
        <v>5855914000</v>
      </c>
      <c r="U191" s="93"/>
      <c r="V191" s="93"/>
      <c r="W191" s="93"/>
      <c r="X191" s="93"/>
      <c r="Y191" s="93"/>
      <c r="Z191" s="93"/>
      <c r="AA191" s="93"/>
      <c r="AB191" s="93"/>
      <c r="AC191" s="93"/>
      <c r="AD191" s="32">
        <f t="shared" ref="AD191:AI191" si="32">SUM(AD9:AD190)</f>
        <v>2412450000</v>
      </c>
      <c r="AE191" s="32">
        <f t="shared" si="32"/>
        <v>8268364000</v>
      </c>
      <c r="AF191" s="93">
        <f t="shared" si="32"/>
        <v>2800</v>
      </c>
      <c r="AG191" s="93">
        <f t="shared" si="32"/>
        <v>0</v>
      </c>
      <c r="AH191" s="298">
        <f t="shared" si="32"/>
        <v>0</v>
      </c>
      <c r="AI191" s="218">
        <f t="shared" si="32"/>
        <v>0</v>
      </c>
    </row>
    <row r="193" spans="10:3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row>
    <row r="194" spans="10:31" hidden="1">
      <c r="Q194" s="107"/>
      <c r="R194" s="107"/>
    </row>
    <row r="195" spans="10:31" hidden="1"/>
    <row r="196" spans="10:31" hidden="1">
      <c r="Q196" s="107"/>
    </row>
    <row r="197" spans="10:31" hidden="1"/>
    <row r="198" spans="10:31">
      <c r="J198" s="112"/>
      <c r="AE198" s="132"/>
    </row>
    <row r="199" spans="10:31">
      <c r="AE199" s="132"/>
    </row>
    <row r="201" spans="10:31">
      <c r="Q201" s="107"/>
      <c r="R201" s="107"/>
    </row>
  </sheetData>
  <autoFilter ref="A7:AE191"/>
  <mergeCells count="449">
    <mergeCell ref="H179:H190"/>
    <mergeCell ref="I179:I190"/>
    <mergeCell ref="J179:J190"/>
    <mergeCell ref="K179:K190"/>
    <mergeCell ref="L179:L190"/>
    <mergeCell ref="M179:M190"/>
    <mergeCell ref="N179:N190"/>
    <mergeCell ref="O179:O190"/>
    <mergeCell ref="P179:P190"/>
    <mergeCell ref="Q179:Q190"/>
    <mergeCell ref="R179:R190"/>
    <mergeCell ref="S179:S190"/>
    <mergeCell ref="T179:T190"/>
    <mergeCell ref="AD179:AD190"/>
    <mergeCell ref="AE179:AE190"/>
    <mergeCell ref="AI179:AI190"/>
    <mergeCell ref="AJ167:AJ178"/>
    <mergeCell ref="AJ179:AJ190"/>
    <mergeCell ref="AI167:AI178"/>
    <mergeCell ref="AI69:AI75"/>
    <mergeCell ref="AJ64:AJ68"/>
    <mergeCell ref="AJ69:AJ75"/>
    <mergeCell ref="A167:A178"/>
    <mergeCell ref="B167:B178"/>
    <mergeCell ref="D167:D178"/>
    <mergeCell ref="E167:E178"/>
    <mergeCell ref="F167:F178"/>
    <mergeCell ref="G167:G178"/>
    <mergeCell ref="H167:H178"/>
    <mergeCell ref="I167:I178"/>
    <mergeCell ref="J167:J178"/>
    <mergeCell ref="K167:K178"/>
    <mergeCell ref="M167:M178"/>
    <mergeCell ref="N167:N178"/>
    <mergeCell ref="O167:O178"/>
    <mergeCell ref="P167:P178"/>
    <mergeCell ref="Q167:Q178"/>
    <mergeCell ref="R167:R178"/>
    <mergeCell ref="S167:S178"/>
    <mergeCell ref="T167:T178"/>
    <mergeCell ref="AD167:AD178"/>
    <mergeCell ref="AE167:AE178"/>
    <mergeCell ref="AG167:AG178"/>
    <mergeCell ref="AE64:AE68"/>
    <mergeCell ref="AI64:AI68"/>
    <mergeCell ref="A69:A75"/>
    <mergeCell ref="B69:B75"/>
    <mergeCell ref="C69:C75"/>
    <mergeCell ref="O69:O75"/>
    <mergeCell ref="P69:P75"/>
    <mergeCell ref="Q69:Q75"/>
    <mergeCell ref="R69:R75"/>
    <mergeCell ref="S69:S75"/>
    <mergeCell ref="T69:T75"/>
    <mergeCell ref="AD69:AD75"/>
    <mergeCell ref="AE69:AE75"/>
    <mergeCell ref="A64:A68"/>
    <mergeCell ref="B64:B68"/>
    <mergeCell ref="C64:C68"/>
    <mergeCell ref="D64:D68"/>
    <mergeCell ref="E64:E68"/>
    <mergeCell ref="F64:F68"/>
    <mergeCell ref="G64:G68"/>
    <mergeCell ref="H64:H68"/>
    <mergeCell ref="I64:I68"/>
    <mergeCell ref="J64:J68"/>
    <mergeCell ref="K64:K68"/>
    <mergeCell ref="A179:A190"/>
    <mergeCell ref="B179:B190"/>
    <mergeCell ref="C179:C190"/>
    <mergeCell ref="D179:D190"/>
    <mergeCell ref="E179:E190"/>
    <mergeCell ref="F179:F190"/>
    <mergeCell ref="G179:G190"/>
    <mergeCell ref="AE163:AE166"/>
    <mergeCell ref="P3:T4"/>
    <mergeCell ref="AE108:AE118"/>
    <mergeCell ref="AE119:AE122"/>
    <mergeCell ref="AE123:AE139"/>
    <mergeCell ref="AE140:AE146"/>
    <mergeCell ref="AE147:AE153"/>
    <mergeCell ref="AE154:AE160"/>
    <mergeCell ref="AE161:AE162"/>
    <mergeCell ref="AE59:AE63"/>
    <mergeCell ref="AE77:AE85"/>
    <mergeCell ref="AE86:AE107"/>
    <mergeCell ref="AE27:AE40"/>
    <mergeCell ref="J14:J24"/>
    <mergeCell ref="AE41:AE58"/>
    <mergeCell ref="AE3:AE5"/>
    <mergeCell ref="AD119:AD122"/>
    <mergeCell ref="AD154:AD160"/>
    <mergeCell ref="AD161:AD162"/>
    <mergeCell ref="AD163:AD165"/>
    <mergeCell ref="AD86:AD96"/>
    <mergeCell ref="AD97:AD107"/>
    <mergeCell ref="AD108:AD118"/>
    <mergeCell ref="AD41:AD57"/>
    <mergeCell ref="AD59:AD63"/>
    <mergeCell ref="AD77:AD85"/>
    <mergeCell ref="AD64:AD68"/>
    <mergeCell ref="AD27:AD40"/>
    <mergeCell ref="T86:T107"/>
    <mergeCell ref="T108:T118"/>
    <mergeCell ref="T119:T122"/>
    <mergeCell ref="T123:T139"/>
    <mergeCell ref="AD123:AD139"/>
    <mergeCell ref="U3:AD4"/>
    <mergeCell ref="AD140:AD146"/>
    <mergeCell ref="AD147:AD153"/>
    <mergeCell ref="T64:T68"/>
    <mergeCell ref="T147:T153"/>
    <mergeCell ref="T154:T160"/>
    <mergeCell ref="T161:T162"/>
    <mergeCell ref="T163:T166"/>
    <mergeCell ref="S64:S68"/>
    <mergeCell ref="S27:S40"/>
    <mergeCell ref="S41:S58"/>
    <mergeCell ref="S154:S160"/>
    <mergeCell ref="S161:S162"/>
    <mergeCell ref="S59:S63"/>
    <mergeCell ref="S77:S85"/>
    <mergeCell ref="S86:S107"/>
    <mergeCell ref="T27:T40"/>
    <mergeCell ref="T41:T58"/>
    <mergeCell ref="T59:T63"/>
    <mergeCell ref="T77:T85"/>
    <mergeCell ref="S108:S118"/>
    <mergeCell ref="S119:S122"/>
    <mergeCell ref="S123:S139"/>
    <mergeCell ref="S140:S146"/>
    <mergeCell ref="T140:T146"/>
    <mergeCell ref="R140:R146"/>
    <mergeCell ref="R147:R153"/>
    <mergeCell ref="R154:R160"/>
    <mergeCell ref="R161:R162"/>
    <mergeCell ref="S147:S153"/>
    <mergeCell ref="R77:R85"/>
    <mergeCell ref="R64:R68"/>
    <mergeCell ref="Q163:Q166"/>
    <mergeCell ref="R27:R40"/>
    <mergeCell ref="R41:R58"/>
    <mergeCell ref="R59:R63"/>
    <mergeCell ref="R163:R166"/>
    <mergeCell ref="R86:R107"/>
    <mergeCell ref="R108:R118"/>
    <mergeCell ref="R119:R122"/>
    <mergeCell ref="Q161:Q162"/>
    <mergeCell ref="S163:S166"/>
    <mergeCell ref="R123:R139"/>
    <mergeCell ref="P163:P166"/>
    <mergeCell ref="Q27:Q40"/>
    <mergeCell ref="Q41:Q58"/>
    <mergeCell ref="P86:P107"/>
    <mergeCell ref="P108:P118"/>
    <mergeCell ref="Q154:Q160"/>
    <mergeCell ref="Q59:Q63"/>
    <mergeCell ref="Q77:Q85"/>
    <mergeCell ref="Q108:Q118"/>
    <mergeCell ref="Q119:Q122"/>
    <mergeCell ref="Q123:Q139"/>
    <mergeCell ref="Q140:Q146"/>
    <mergeCell ref="Q147:Q153"/>
    <mergeCell ref="P64:P68"/>
    <mergeCell ref="Q86:Q107"/>
    <mergeCell ref="Q64:Q68"/>
    <mergeCell ref="O163:O166"/>
    <mergeCell ref="P27:P40"/>
    <mergeCell ref="P41:P58"/>
    <mergeCell ref="P59:P63"/>
    <mergeCell ref="P77:P85"/>
    <mergeCell ref="O86:O107"/>
    <mergeCell ref="O108:O118"/>
    <mergeCell ref="O147:O153"/>
    <mergeCell ref="O41:O58"/>
    <mergeCell ref="O59:O63"/>
    <mergeCell ref="O77:O85"/>
    <mergeCell ref="O119:O122"/>
    <mergeCell ref="O123:O139"/>
    <mergeCell ref="O140:O146"/>
    <mergeCell ref="O154:O160"/>
    <mergeCell ref="O161:O162"/>
    <mergeCell ref="P119:P122"/>
    <mergeCell ref="P123:P139"/>
    <mergeCell ref="P140:P146"/>
    <mergeCell ref="P147:P153"/>
    <mergeCell ref="P154:P160"/>
    <mergeCell ref="P161:P162"/>
    <mergeCell ref="O64:O68"/>
    <mergeCell ref="O27:O40"/>
    <mergeCell ref="N3:N5"/>
    <mergeCell ref="N27:N40"/>
    <mergeCell ref="N41:N58"/>
    <mergeCell ref="M154:M160"/>
    <mergeCell ref="M59:M63"/>
    <mergeCell ref="M77:M85"/>
    <mergeCell ref="M86:M107"/>
    <mergeCell ref="M161:M162"/>
    <mergeCell ref="M3:M5"/>
    <mergeCell ref="M27:M40"/>
    <mergeCell ref="M41:M58"/>
    <mergeCell ref="M64:M68"/>
    <mergeCell ref="M69:M75"/>
    <mergeCell ref="O14:O24"/>
    <mergeCell ref="N154:N160"/>
    <mergeCell ref="N161:N162"/>
    <mergeCell ref="N86:N107"/>
    <mergeCell ref="N108:N118"/>
    <mergeCell ref="N119:N122"/>
    <mergeCell ref="N123:N139"/>
    <mergeCell ref="N140:N146"/>
    <mergeCell ref="N147:N153"/>
    <mergeCell ref="N64:N68"/>
    <mergeCell ref="L147:L153"/>
    <mergeCell ref="L154:L160"/>
    <mergeCell ref="L161:L162"/>
    <mergeCell ref="L163:L166"/>
    <mergeCell ref="L86:L107"/>
    <mergeCell ref="L108:L118"/>
    <mergeCell ref="L119:L122"/>
    <mergeCell ref="N59:N63"/>
    <mergeCell ref="N77:N85"/>
    <mergeCell ref="M108:M118"/>
    <mergeCell ref="M119:M122"/>
    <mergeCell ref="M123:M139"/>
    <mergeCell ref="M140:M146"/>
    <mergeCell ref="M147:M153"/>
    <mergeCell ref="N163:N166"/>
    <mergeCell ref="M163:M166"/>
    <mergeCell ref="L64:L68"/>
    <mergeCell ref="L69:L75"/>
    <mergeCell ref="N69:N75"/>
    <mergeCell ref="L41:L58"/>
    <mergeCell ref="L77:L85"/>
    <mergeCell ref="K86:K107"/>
    <mergeCell ref="K108:K118"/>
    <mergeCell ref="K119:K122"/>
    <mergeCell ref="K123:K139"/>
    <mergeCell ref="K140:K146"/>
    <mergeCell ref="K41:K58"/>
    <mergeCell ref="K59:K63"/>
    <mergeCell ref="K77:K85"/>
    <mergeCell ref="L123:L139"/>
    <mergeCell ref="L140:L146"/>
    <mergeCell ref="K69:K75"/>
    <mergeCell ref="J161:J162"/>
    <mergeCell ref="J163:J166"/>
    <mergeCell ref="J77:J85"/>
    <mergeCell ref="J86:J107"/>
    <mergeCell ref="J108:J118"/>
    <mergeCell ref="J27:J40"/>
    <mergeCell ref="J41:J58"/>
    <mergeCell ref="J59:J63"/>
    <mergeCell ref="K147:K153"/>
    <mergeCell ref="K154:K160"/>
    <mergeCell ref="K161:K162"/>
    <mergeCell ref="K163:K166"/>
    <mergeCell ref="J69:J75"/>
    <mergeCell ref="H27:H40"/>
    <mergeCell ref="H41:H57"/>
    <mergeCell ref="H59:H63"/>
    <mergeCell ref="K27:K40"/>
    <mergeCell ref="J119:J122"/>
    <mergeCell ref="J123:J139"/>
    <mergeCell ref="J140:J146"/>
    <mergeCell ref="J147:J153"/>
    <mergeCell ref="J154:J160"/>
    <mergeCell ref="G27:G40"/>
    <mergeCell ref="G41:G57"/>
    <mergeCell ref="H161:H162"/>
    <mergeCell ref="G69:G75"/>
    <mergeCell ref="I27:I40"/>
    <mergeCell ref="I147:I153"/>
    <mergeCell ref="I154:I160"/>
    <mergeCell ref="I161:I162"/>
    <mergeCell ref="I163:I165"/>
    <mergeCell ref="I119:I122"/>
    <mergeCell ref="I123:I139"/>
    <mergeCell ref="I41:I57"/>
    <mergeCell ref="H108:H118"/>
    <mergeCell ref="H119:H122"/>
    <mergeCell ref="H123:H139"/>
    <mergeCell ref="H140:H146"/>
    <mergeCell ref="H147:H153"/>
    <mergeCell ref="H154:H160"/>
    <mergeCell ref="H77:H85"/>
    <mergeCell ref="H86:H96"/>
    <mergeCell ref="H97:H107"/>
    <mergeCell ref="I140:I146"/>
    <mergeCell ref="I59:I63"/>
    <mergeCell ref="H69:H75"/>
    <mergeCell ref="F77:F85"/>
    <mergeCell ref="G77:G85"/>
    <mergeCell ref="G86:G96"/>
    <mergeCell ref="G97:G107"/>
    <mergeCell ref="G108:G118"/>
    <mergeCell ref="G59:G63"/>
    <mergeCell ref="I77:I85"/>
    <mergeCell ref="G163:G165"/>
    <mergeCell ref="I86:I96"/>
    <mergeCell ref="I97:I107"/>
    <mergeCell ref="I108:I118"/>
    <mergeCell ref="H163:H165"/>
    <mergeCell ref="F69:F75"/>
    <mergeCell ref="G119:G122"/>
    <mergeCell ref="G123:G139"/>
    <mergeCell ref="G140:G146"/>
    <mergeCell ref="G147:G153"/>
    <mergeCell ref="G154:G160"/>
    <mergeCell ref="G161:G162"/>
    <mergeCell ref="I69:I75"/>
    <mergeCell ref="E163:E165"/>
    <mergeCell ref="F27:F40"/>
    <mergeCell ref="F123:F139"/>
    <mergeCell ref="F140:F146"/>
    <mergeCell ref="F147:F153"/>
    <mergeCell ref="F154:F160"/>
    <mergeCell ref="F161:F162"/>
    <mergeCell ref="F163:F165"/>
    <mergeCell ref="F41:F57"/>
    <mergeCell ref="E97:E107"/>
    <mergeCell ref="E108:E118"/>
    <mergeCell ref="E119:E122"/>
    <mergeCell ref="E123:E139"/>
    <mergeCell ref="E140:E146"/>
    <mergeCell ref="E147:E153"/>
    <mergeCell ref="E59:E63"/>
    <mergeCell ref="E77:E85"/>
    <mergeCell ref="E86:E96"/>
    <mergeCell ref="E69:E75"/>
    <mergeCell ref="F86:F96"/>
    <mergeCell ref="F97:F107"/>
    <mergeCell ref="F108:F118"/>
    <mergeCell ref="F119:F122"/>
    <mergeCell ref="F59:F63"/>
    <mergeCell ref="C163:C165"/>
    <mergeCell ref="D27:D40"/>
    <mergeCell ref="C86:C96"/>
    <mergeCell ref="C97:C107"/>
    <mergeCell ref="C108:C118"/>
    <mergeCell ref="C119:C122"/>
    <mergeCell ref="D163:D165"/>
    <mergeCell ref="E27:E40"/>
    <mergeCell ref="E41:E57"/>
    <mergeCell ref="D119:D122"/>
    <mergeCell ref="D123:D139"/>
    <mergeCell ref="D140:D146"/>
    <mergeCell ref="D147:D153"/>
    <mergeCell ref="D154:D160"/>
    <mergeCell ref="D161:D162"/>
    <mergeCell ref="D77:D85"/>
    <mergeCell ref="D86:D96"/>
    <mergeCell ref="D97:D107"/>
    <mergeCell ref="D108:D118"/>
    <mergeCell ref="D41:D57"/>
    <mergeCell ref="D59:D63"/>
    <mergeCell ref="D69:D75"/>
    <mergeCell ref="E154:E160"/>
    <mergeCell ref="E161:E162"/>
    <mergeCell ref="B154:B160"/>
    <mergeCell ref="B59:B63"/>
    <mergeCell ref="B77:B85"/>
    <mergeCell ref="B86:B107"/>
    <mergeCell ref="C123:C139"/>
    <mergeCell ref="C140:C146"/>
    <mergeCell ref="C147:C153"/>
    <mergeCell ref="C154:C160"/>
    <mergeCell ref="C161:C162"/>
    <mergeCell ref="A11:A12"/>
    <mergeCell ref="B11:B12"/>
    <mergeCell ref="C41:C57"/>
    <mergeCell ref="C77:C85"/>
    <mergeCell ref="B108:B118"/>
    <mergeCell ref="B119:B122"/>
    <mergeCell ref="B123:B139"/>
    <mergeCell ref="B140:B146"/>
    <mergeCell ref="B147:B153"/>
    <mergeCell ref="O11:O12"/>
    <mergeCell ref="P11:P12"/>
    <mergeCell ref="Q11:Q12"/>
    <mergeCell ref="A147:A153"/>
    <mergeCell ref="A154:A160"/>
    <mergeCell ref="A161:A162"/>
    <mergeCell ref="A163:A166"/>
    <mergeCell ref="B3:B5"/>
    <mergeCell ref="B27:B40"/>
    <mergeCell ref="B41:B58"/>
    <mergeCell ref="A86:A107"/>
    <mergeCell ref="A108:A118"/>
    <mergeCell ref="A119:A122"/>
    <mergeCell ref="A123:A139"/>
    <mergeCell ref="A140:A146"/>
    <mergeCell ref="A41:A58"/>
    <mergeCell ref="A59:A63"/>
    <mergeCell ref="A77:A85"/>
    <mergeCell ref="A27:A40"/>
    <mergeCell ref="A14:A24"/>
    <mergeCell ref="B14:B24"/>
    <mergeCell ref="B161:B162"/>
    <mergeCell ref="B163:B166"/>
    <mergeCell ref="A3:A5"/>
    <mergeCell ref="R11:R12"/>
    <mergeCell ref="S11:S12"/>
    <mergeCell ref="T11:T12"/>
    <mergeCell ref="C3:K3"/>
    <mergeCell ref="C4:F4"/>
    <mergeCell ref="G4:K4"/>
    <mergeCell ref="K11:K12"/>
    <mergeCell ref="O3:O5"/>
    <mergeCell ref="F14:F17"/>
    <mergeCell ref="G14:G17"/>
    <mergeCell ref="H14:H17"/>
    <mergeCell ref="K14:K24"/>
    <mergeCell ref="L14:L24"/>
    <mergeCell ref="M14:M24"/>
    <mergeCell ref="N14:N24"/>
    <mergeCell ref="L11:L12"/>
    <mergeCell ref="M11:M12"/>
    <mergeCell ref="N11:N12"/>
    <mergeCell ref="D11:D12"/>
    <mergeCell ref="E11:E12"/>
    <mergeCell ref="F11:F12"/>
    <mergeCell ref="G11:G12"/>
    <mergeCell ref="H11:H12"/>
    <mergeCell ref="J11:J12"/>
    <mergeCell ref="AK3:AK4"/>
    <mergeCell ref="AF14:AF15"/>
    <mergeCell ref="AD18:AD24"/>
    <mergeCell ref="AF18:AF19"/>
    <mergeCell ref="A1:AE2"/>
    <mergeCell ref="I11:I12"/>
    <mergeCell ref="I14:I17"/>
    <mergeCell ref="I18:I24"/>
    <mergeCell ref="AD11:AD12"/>
    <mergeCell ref="AE11:AE12"/>
    <mergeCell ref="AD14:AD17"/>
    <mergeCell ref="AE14:AE24"/>
    <mergeCell ref="P14:P24"/>
    <mergeCell ref="Q14:Q24"/>
    <mergeCell ref="R14:R24"/>
    <mergeCell ref="S14:S24"/>
    <mergeCell ref="T14:T24"/>
    <mergeCell ref="D18:D24"/>
    <mergeCell ref="E18:E24"/>
    <mergeCell ref="F18:F24"/>
    <mergeCell ref="G18:G24"/>
    <mergeCell ref="H18:H24"/>
    <mergeCell ref="D14:D17"/>
    <mergeCell ref="E14:E17"/>
  </mergeCells>
  <pageMargins left="0.2" right="0.1" top="0.2" bottom="0.2" header="0.2" footer="0.2"/>
  <pageSetup paperSize="9" scale="4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LuuTo 2</vt:lpstr>
      <vt:lpstr>1</vt:lpstr>
      <vt:lpstr>Chi trả Đợt 3 kèm PA</vt:lpstr>
      <vt:lpstr>Chi trả Đợt 3 kèm QĐ</vt:lpstr>
      <vt:lpstr>Chi trả Đợt 3 Kèm BB</vt:lpstr>
      <vt:lpstr>Chi trả Đợt 3 Kèm TB)</vt:lpstr>
      <vt:lpstr>Chi trả Đợt 3 Kèm TT</vt:lpstr>
      <vt:lpstr>'1'!Print_Titles</vt:lpstr>
      <vt:lpstr>'Chi trả Đợt 3 Kèm BB'!Print_Titles</vt:lpstr>
      <vt:lpstr>'Chi trả Đợt 3 kèm PA'!Print_Titles</vt:lpstr>
      <vt:lpstr>'Chi trả Đợt 3 kèm QĐ'!Print_Titles</vt:lpstr>
      <vt:lpstr>'Chi trả Đợt 3 Kèm TB)'!Print_Titles</vt:lpstr>
      <vt:lpstr>'Chi trả Đợt 3 Kèm TT'!Print_Titles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DO THI ANH</cp:lastModifiedBy>
  <cp:lastPrinted>2026-03-23T11:46:57Z</cp:lastPrinted>
  <dcterms:created xsi:type="dcterms:W3CDTF">2025-07-14T14:38:00Z</dcterms:created>
  <dcterms:modified xsi:type="dcterms:W3CDTF">2026-10-12T04:58:49Z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66FE13B1A7FB47328DD159379433B118_13</vt:lpwstr>
  </property>
  <property fmtid="{D5CDD505-2E9C-101B-9397-08002B2CF9AE}" pid="3" name="KSOProductBuildVer">
    <vt:lpwstr>1033-12.2.0.23196</vt:lpwstr>
  </property>
</Properties>
</file>