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XÃ KHOÁI CHÂU 2026\THẨM ĐỊNH PHÊ DUYỆT PA SÂN GÔN ĐỢT 1\PHÊ DUYỆT ĐỢT 5\"/>
    </mc:Choice>
  </mc:AlternateContent>
  <bookViews>
    <workbookView xWindow="0" yWindow="0" windowWidth="22185" windowHeight="8550" firstSheet="1" activeTab="2"/>
  </bookViews>
  <sheets>
    <sheet name="LuuTo 2" sheetId="26" state="hidden" r:id="rId1"/>
    <sheet name="PA ĐK Đợt 3" sheetId="41" r:id="rId2"/>
    <sheet name="Chi trả Đợt 5 kèm QĐ (37 hộ)" sheetId="44" r:id="rId3"/>
  </sheets>
  <externalReferences>
    <externalReference r:id="rId4"/>
  </externalReferences>
  <definedNames>
    <definedName name="_xlnm._FilterDatabase" localSheetId="2" hidden="1">'Chi trả Đợt 5 kèm QĐ (37 hộ)'!$A$8:$AD$407</definedName>
    <definedName name="_xlnm._FilterDatabase" localSheetId="1" hidden="1">'PA ĐK Đợt 3'!$A$7:$AD$419</definedName>
    <definedName name="_xlnm.Print_Titles" localSheetId="2">'Chi trả Đợt 5 kèm QĐ (37 hộ)'!$4:$6</definedName>
    <definedName name="_xlnm.Print_Titles" localSheetId="1">'PA ĐK Đợt 3'!$3:$5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17" i="44" l="1"/>
  <c r="R47" i="44"/>
  <c r="R37" i="44"/>
  <c r="R27" i="44"/>
  <c r="R10" i="44"/>
  <c r="Q417" i="44"/>
  <c r="P417" i="44"/>
  <c r="V250" i="44" l="1"/>
  <c r="V42" i="44" l="1"/>
  <c r="V38" i="44"/>
  <c r="R390" i="44" l="1"/>
  <c r="AB393" i="44"/>
  <c r="V392" i="44"/>
  <c r="AB391" i="44"/>
  <c r="AC390" i="44" s="1"/>
  <c r="V390" i="44"/>
  <c r="P390" i="44"/>
  <c r="L390" i="44"/>
  <c r="Q390" i="44" l="1"/>
  <c r="S390" i="44" s="1"/>
  <c r="AD390" i="44" s="1"/>
  <c r="E407" i="44"/>
  <c r="G407" i="44"/>
  <c r="J407" i="44"/>
  <c r="K407" i="44"/>
  <c r="N407" i="44"/>
  <c r="AB405" i="44"/>
  <c r="AB404" i="44"/>
  <c r="AB402" i="44"/>
  <c r="V401" i="44"/>
  <c r="V405" i="44" s="1"/>
  <c r="P401" i="44"/>
  <c r="Q401" i="44" s="1"/>
  <c r="L401" i="44"/>
  <c r="H401" i="44"/>
  <c r="AB283" i="44"/>
  <c r="AB282" i="44"/>
  <c r="O282" i="44"/>
  <c r="P282" i="44" s="1"/>
  <c r="Q282" i="44" s="1"/>
  <c r="L282" i="44"/>
  <c r="M282" i="44" s="1"/>
  <c r="H282" i="44"/>
  <c r="AC282" i="44" l="1"/>
  <c r="AC401" i="44"/>
  <c r="AB373" i="44" l="1"/>
  <c r="AB372" i="44"/>
  <c r="AB371" i="44"/>
  <c r="AB370" i="44"/>
  <c r="AB369" i="44"/>
  <c r="V369" i="44"/>
  <c r="AB368" i="44"/>
  <c r="AB367" i="44"/>
  <c r="V367" i="44"/>
  <c r="AB366" i="44"/>
  <c r="AB365" i="44"/>
  <c r="AB364" i="44"/>
  <c r="AB363" i="44"/>
  <c r="V363" i="44"/>
  <c r="AB362" i="44"/>
  <c r="AB361" i="44"/>
  <c r="AB360" i="44"/>
  <c r="AB359" i="44"/>
  <c r="V359" i="44"/>
  <c r="P359" i="44"/>
  <c r="Q359" i="44" s="1"/>
  <c r="L359" i="44"/>
  <c r="H359" i="44"/>
  <c r="AC359" i="44" l="1"/>
  <c r="X154" i="44" l="1"/>
  <c r="AB154" i="44" s="1"/>
  <c r="AB153" i="44"/>
  <c r="V152" i="44"/>
  <c r="AB151" i="44"/>
  <c r="W151" i="44"/>
  <c r="AB150" i="44"/>
  <c r="W150" i="44"/>
  <c r="V150" i="44"/>
  <c r="AB149" i="44"/>
  <c r="W149" i="44"/>
  <c r="W148" i="44"/>
  <c r="V148" i="44"/>
  <c r="O148" i="44"/>
  <c r="P148" i="44" s="1"/>
  <c r="L148" i="44"/>
  <c r="M148" i="44" s="1"/>
  <c r="H148" i="44"/>
  <c r="AC148" i="44" l="1"/>
  <c r="AB399" i="44"/>
  <c r="AB398" i="44"/>
  <c r="AB396" i="44"/>
  <c r="V395" i="44"/>
  <c r="V399" i="44" s="1"/>
  <c r="P395" i="44"/>
  <c r="L395" i="44"/>
  <c r="H395" i="44"/>
  <c r="AB387" i="44"/>
  <c r="AB386" i="44"/>
  <c r="V385" i="44"/>
  <c r="H385" i="44"/>
  <c r="AB379" i="44"/>
  <c r="AB378" i="44"/>
  <c r="AB377" i="44"/>
  <c r="AB376" i="44"/>
  <c r="AB375" i="44"/>
  <c r="V375" i="44"/>
  <c r="V377" i="44" s="1"/>
  <c r="I375" i="44"/>
  <c r="P375" i="44" s="1"/>
  <c r="AB358" i="44"/>
  <c r="AB357" i="44"/>
  <c r="AB350" i="44"/>
  <c r="AB349" i="44"/>
  <c r="AB347" i="44"/>
  <c r="AB346" i="44"/>
  <c r="V346" i="44"/>
  <c r="AB345" i="44"/>
  <c r="V344" i="44"/>
  <c r="AB343" i="44"/>
  <c r="AB342" i="44"/>
  <c r="AB341" i="44"/>
  <c r="AB340" i="44"/>
  <c r="AB339" i="44"/>
  <c r="AB338" i="44"/>
  <c r="V337" i="44"/>
  <c r="V338" i="44" s="1"/>
  <c r="AB336" i="44"/>
  <c r="V336" i="44"/>
  <c r="AB335" i="44"/>
  <c r="AB334" i="44"/>
  <c r="V334" i="44"/>
  <c r="AB333" i="44"/>
  <c r="I333" i="44"/>
  <c r="P333" i="44" s="1"/>
  <c r="H333" i="44"/>
  <c r="AB329" i="44"/>
  <c r="AB328" i="44"/>
  <c r="AB327" i="44"/>
  <c r="I326" i="44"/>
  <c r="V326" i="44" s="1"/>
  <c r="V328" i="44" s="1"/>
  <c r="H326" i="44"/>
  <c r="AB324" i="44"/>
  <c r="AB322" i="44"/>
  <c r="V321" i="44"/>
  <c r="AB320" i="44"/>
  <c r="V319" i="44"/>
  <c r="AB318" i="44"/>
  <c r="V317" i="44"/>
  <c r="AB316" i="44"/>
  <c r="V315" i="44"/>
  <c r="AB314" i="44"/>
  <c r="P314" i="44"/>
  <c r="L314" i="44"/>
  <c r="H314" i="44"/>
  <c r="AB308" i="44"/>
  <c r="U307" i="44"/>
  <c r="V307" i="44" s="1"/>
  <c r="AB306" i="44"/>
  <c r="AB304" i="44"/>
  <c r="AB303" i="44"/>
  <c r="V303" i="44"/>
  <c r="P303" i="44"/>
  <c r="L303" i="44"/>
  <c r="H303" i="44"/>
  <c r="X302" i="44"/>
  <c r="AB301" i="44"/>
  <c r="AB299" i="44"/>
  <c r="AB298" i="44"/>
  <c r="V297" i="44"/>
  <c r="V299" i="44" s="1"/>
  <c r="AB296" i="44"/>
  <c r="P296" i="44"/>
  <c r="Q296" i="44" s="1"/>
  <c r="H296" i="44"/>
  <c r="AB295" i="44"/>
  <c r="AB294" i="44"/>
  <c r="AB293" i="44"/>
  <c r="AB292" i="44"/>
  <c r="AB291" i="44"/>
  <c r="P291" i="44"/>
  <c r="L291" i="44"/>
  <c r="H291" i="44"/>
  <c r="AB290" i="44"/>
  <c r="AB289" i="44"/>
  <c r="H289" i="44"/>
  <c r="AB288" i="44"/>
  <c r="AB287" i="44"/>
  <c r="AB286" i="44"/>
  <c r="AB285" i="44"/>
  <c r="V285" i="44"/>
  <c r="V287" i="44" s="1"/>
  <c r="I285" i="44"/>
  <c r="H285" i="44"/>
  <c r="AB280" i="44"/>
  <c r="AB279" i="44"/>
  <c r="W279" i="44"/>
  <c r="AB278" i="44"/>
  <c r="W278" i="44"/>
  <c r="W277" i="44"/>
  <c r="V277" i="44"/>
  <c r="U277" i="44"/>
  <c r="AB276" i="44"/>
  <c r="W276" i="44"/>
  <c r="W275" i="44"/>
  <c r="V275" i="44"/>
  <c r="AB274" i="44"/>
  <c r="O274" i="44"/>
  <c r="P274" i="44" s="1"/>
  <c r="L274" i="44"/>
  <c r="M274" i="44" s="1"/>
  <c r="H274" i="44"/>
  <c r="AB272" i="44"/>
  <c r="W272" i="44"/>
  <c r="W271" i="44"/>
  <c r="V271" i="44"/>
  <c r="AB270" i="44"/>
  <c r="W270" i="44"/>
  <c r="V270" i="44"/>
  <c r="W269" i="44"/>
  <c r="AB268" i="44"/>
  <c r="AC268" i="44" s="1"/>
  <c r="O268" i="44"/>
  <c r="P268" i="44" s="1"/>
  <c r="L268" i="44"/>
  <c r="M268" i="44" s="1"/>
  <c r="H268" i="44"/>
  <c r="AB267" i="44"/>
  <c r="AB266" i="44"/>
  <c r="W266" i="44"/>
  <c r="AB265" i="44"/>
  <c r="W265" i="44"/>
  <c r="V265" i="44"/>
  <c r="W264" i="44"/>
  <c r="AB263" i="44"/>
  <c r="W263" i="44"/>
  <c r="V263" i="44"/>
  <c r="W262" i="44"/>
  <c r="AB261" i="44"/>
  <c r="O261" i="44"/>
  <c r="P261" i="44" s="1"/>
  <c r="L261" i="44"/>
  <c r="M261" i="44" s="1"/>
  <c r="AB259" i="44"/>
  <c r="W259" i="44"/>
  <c r="AB258" i="44"/>
  <c r="W258" i="44"/>
  <c r="W257" i="44"/>
  <c r="V257" i="44"/>
  <c r="AB256" i="44"/>
  <c r="W256" i="44"/>
  <c r="W255" i="44"/>
  <c r="V255" i="44"/>
  <c r="AB254" i="44"/>
  <c r="AC254" i="44" s="1"/>
  <c r="O254" i="44"/>
  <c r="P254" i="44" s="1"/>
  <c r="L254" i="44"/>
  <c r="M254" i="44" s="1"/>
  <c r="H254" i="44"/>
  <c r="AB253" i="44"/>
  <c r="AB252" i="44"/>
  <c r="W252" i="44"/>
  <c r="AB251" i="44"/>
  <c r="W251" i="44"/>
  <c r="W250" i="44"/>
  <c r="AB249" i="44"/>
  <c r="W249" i="44"/>
  <c r="AB248" i="44"/>
  <c r="W248" i="44"/>
  <c r="V248" i="44"/>
  <c r="AB247" i="44"/>
  <c r="W247" i="44"/>
  <c r="W246" i="44"/>
  <c r="AB245" i="44"/>
  <c r="W245" i="44"/>
  <c r="W244" i="44"/>
  <c r="V244" i="44"/>
  <c r="AB243" i="44"/>
  <c r="O243" i="44"/>
  <c r="P243" i="44" s="1"/>
  <c r="L243" i="44"/>
  <c r="M243" i="44" s="1"/>
  <c r="AB241" i="44"/>
  <c r="W241" i="44"/>
  <c r="W240" i="44"/>
  <c r="V240" i="44"/>
  <c r="AB239" i="44"/>
  <c r="W239" i="44"/>
  <c r="W238" i="44"/>
  <c r="U238" i="44"/>
  <c r="V238" i="44" s="1"/>
  <c r="AB237" i="44"/>
  <c r="O237" i="44"/>
  <c r="P237" i="44" s="1"/>
  <c r="L237" i="44"/>
  <c r="M237" i="44" s="1"/>
  <c r="H237" i="44"/>
  <c r="AB233" i="44"/>
  <c r="W233" i="44"/>
  <c r="AB232" i="44"/>
  <c r="W232" i="44"/>
  <c r="X231" i="44"/>
  <c r="AB231" i="44" s="1"/>
  <c r="W231" i="44"/>
  <c r="AB230" i="44"/>
  <c r="W230" i="44"/>
  <c r="W229" i="44"/>
  <c r="V229" i="44"/>
  <c r="W228" i="44"/>
  <c r="AB227" i="44"/>
  <c r="W227" i="44"/>
  <c r="V227" i="44"/>
  <c r="W226" i="44"/>
  <c r="W225" i="44"/>
  <c r="AB224" i="44"/>
  <c r="W224" i="44"/>
  <c r="W223" i="44"/>
  <c r="AB222" i="44"/>
  <c r="W222" i="44"/>
  <c r="W221" i="44"/>
  <c r="V221" i="44"/>
  <c r="X226" i="44" s="1"/>
  <c r="O221" i="44"/>
  <c r="P221" i="44" s="1"/>
  <c r="L221" i="44"/>
  <c r="M221" i="44" s="1"/>
  <c r="Y220" i="44"/>
  <c r="AB219" i="44"/>
  <c r="AB217" i="44"/>
  <c r="W217" i="44"/>
  <c r="W216" i="44"/>
  <c r="AB215" i="44"/>
  <c r="AB214" i="44"/>
  <c r="V213" i="44"/>
  <c r="AB212" i="44"/>
  <c r="W212" i="44"/>
  <c r="W211" i="44"/>
  <c r="X210" i="44"/>
  <c r="AB210" i="44" s="1"/>
  <c r="W210" i="44"/>
  <c r="AB209" i="44"/>
  <c r="W209" i="44"/>
  <c r="V209" i="44"/>
  <c r="AB208" i="44"/>
  <c r="W208" i="44"/>
  <c r="W207" i="44"/>
  <c r="V207" i="44"/>
  <c r="O207" i="44"/>
  <c r="P207" i="44" s="1"/>
  <c r="L207" i="44"/>
  <c r="M207" i="44" s="1"/>
  <c r="AB206" i="44"/>
  <c r="AB204" i="44"/>
  <c r="AB202" i="44"/>
  <c r="AB201" i="44"/>
  <c r="AB199" i="44"/>
  <c r="W199" i="44"/>
  <c r="W198" i="44"/>
  <c r="V198" i="44"/>
  <c r="V202" i="44" s="1"/>
  <c r="AB197" i="44"/>
  <c r="AB196" i="44"/>
  <c r="AB194" i="44"/>
  <c r="V193" i="44"/>
  <c r="V195" i="44" s="1"/>
  <c r="O193" i="44"/>
  <c r="P193" i="44" s="1"/>
  <c r="L193" i="44"/>
  <c r="M193" i="44" s="1"/>
  <c r="AB189" i="44"/>
  <c r="V188" i="44"/>
  <c r="X191" i="44" s="1"/>
  <c r="AB187" i="44"/>
  <c r="W187" i="44"/>
  <c r="W186" i="44"/>
  <c r="V186" i="44"/>
  <c r="O186" i="44"/>
  <c r="P186" i="44" s="1"/>
  <c r="L186" i="44"/>
  <c r="M186" i="44" s="1"/>
  <c r="H186" i="44"/>
  <c r="AB185" i="44"/>
  <c r="X182" i="44"/>
  <c r="AB182" i="44" s="1"/>
  <c r="AB181" i="44"/>
  <c r="V180" i="44"/>
  <c r="X179" i="44"/>
  <c r="AB179" i="44" s="1"/>
  <c r="W179" i="44"/>
  <c r="AB178" i="44"/>
  <c r="W178" i="44"/>
  <c r="V178" i="44"/>
  <c r="AB177" i="44"/>
  <c r="W177" i="44"/>
  <c r="W176" i="44"/>
  <c r="V176" i="44"/>
  <c r="P176" i="44"/>
  <c r="Q176" i="44" s="1"/>
  <c r="L176" i="44"/>
  <c r="M176" i="44" s="1"/>
  <c r="H176" i="44"/>
  <c r="X175" i="44"/>
  <c r="AB175" i="44" s="1"/>
  <c r="AC175" i="44" s="1"/>
  <c r="P175" i="44"/>
  <c r="Q175" i="44" s="1"/>
  <c r="L175" i="44"/>
  <c r="M175" i="44" s="1"/>
  <c r="H175" i="44"/>
  <c r="AB174" i="44"/>
  <c r="AC174" i="44" s="1"/>
  <c r="P174" i="44"/>
  <c r="Q174" i="44" s="1"/>
  <c r="L174" i="44"/>
  <c r="M174" i="44" s="1"/>
  <c r="AB173" i="44"/>
  <c r="AC173" i="44" s="1"/>
  <c r="P173" i="44"/>
  <c r="Q173" i="44" s="1"/>
  <c r="L173" i="44"/>
  <c r="M173" i="44" s="1"/>
  <c r="H173" i="44"/>
  <c r="X168" i="44"/>
  <c r="AB168" i="44" s="1"/>
  <c r="W168" i="44"/>
  <c r="AB167" i="44"/>
  <c r="W167" i="44"/>
  <c r="W166" i="44"/>
  <c r="V166" i="44"/>
  <c r="V168" i="44" s="1"/>
  <c r="X165" i="44"/>
  <c r="AB165" i="44" s="1"/>
  <c r="W165" i="44"/>
  <c r="AB164" i="44"/>
  <c r="W164" i="44"/>
  <c r="W163" i="44"/>
  <c r="V163" i="44"/>
  <c r="AB162" i="44"/>
  <c r="W162" i="44"/>
  <c r="W161" i="44"/>
  <c r="V161" i="44"/>
  <c r="AB160" i="44"/>
  <c r="W160" i="44"/>
  <c r="W159" i="44"/>
  <c r="V159" i="44"/>
  <c r="AB158" i="44"/>
  <c r="W158" i="44"/>
  <c r="W157" i="44"/>
  <c r="AB156" i="44"/>
  <c r="W156" i="44"/>
  <c r="W155" i="44"/>
  <c r="V155" i="44"/>
  <c r="O155" i="44"/>
  <c r="P155" i="44" s="1"/>
  <c r="L155" i="44"/>
  <c r="M155" i="44" s="1"/>
  <c r="H155" i="44"/>
  <c r="AB135" i="44"/>
  <c r="AB133" i="44"/>
  <c r="AB131" i="44"/>
  <c r="W131" i="44"/>
  <c r="W130" i="44"/>
  <c r="AB129" i="44"/>
  <c r="W129" i="44"/>
  <c r="W128" i="44"/>
  <c r="V128" i="44"/>
  <c r="AE127" i="44"/>
  <c r="V132" i="44" s="1"/>
  <c r="AB127" i="44"/>
  <c r="AB125" i="44"/>
  <c r="V124" i="44"/>
  <c r="AB123" i="44"/>
  <c r="W123" i="44"/>
  <c r="W122" i="44"/>
  <c r="AB121" i="44"/>
  <c r="W121" i="44"/>
  <c r="W120" i="44"/>
  <c r="V120" i="44"/>
  <c r="O120" i="44"/>
  <c r="P120" i="44" s="1"/>
  <c r="L120" i="44"/>
  <c r="M120" i="44" s="1"/>
  <c r="H120" i="44"/>
  <c r="AB119" i="44"/>
  <c r="AB118" i="44"/>
  <c r="V118" i="44"/>
  <c r="AB117" i="44"/>
  <c r="V116" i="44"/>
  <c r="O116" i="44"/>
  <c r="P116" i="44" s="1"/>
  <c r="L116" i="44"/>
  <c r="M116" i="44" s="1"/>
  <c r="AB113" i="44"/>
  <c r="AB109" i="44"/>
  <c r="AB108" i="44"/>
  <c r="W108" i="44"/>
  <c r="X107" i="44"/>
  <c r="AB107" i="44" s="1"/>
  <c r="W107" i="44"/>
  <c r="AB106" i="44"/>
  <c r="W106" i="44"/>
  <c r="W105" i="44"/>
  <c r="V105" i="44"/>
  <c r="X104" i="44"/>
  <c r="AB104" i="44" s="1"/>
  <c r="W104" i="44"/>
  <c r="AB103" i="44"/>
  <c r="W103" i="44"/>
  <c r="V103" i="44"/>
  <c r="AB102" i="44"/>
  <c r="W102" i="44"/>
  <c r="W101" i="44"/>
  <c r="V101" i="44"/>
  <c r="H101" i="44"/>
  <c r="AB99" i="44"/>
  <c r="AB98" i="44"/>
  <c r="AB97" i="44"/>
  <c r="AB96" i="44"/>
  <c r="AB94" i="44"/>
  <c r="X93" i="44"/>
  <c r="AB93" i="44" s="1"/>
  <c r="W93" i="44"/>
  <c r="AB92" i="44"/>
  <c r="W92" i="44"/>
  <c r="W91" i="44"/>
  <c r="V91" i="44"/>
  <c r="X90" i="44"/>
  <c r="AB90" i="44" s="1"/>
  <c r="W90" i="44"/>
  <c r="AB89" i="44"/>
  <c r="W89" i="44"/>
  <c r="V89" i="44"/>
  <c r="AB88" i="44"/>
  <c r="W88" i="44"/>
  <c r="W87" i="44"/>
  <c r="AB86" i="44"/>
  <c r="W86" i="44"/>
  <c r="W85" i="44"/>
  <c r="V85" i="44"/>
  <c r="O85" i="44"/>
  <c r="P85" i="44" s="1"/>
  <c r="L85" i="44"/>
  <c r="M85" i="44" s="1"/>
  <c r="H85" i="44"/>
  <c r="AB84" i="44"/>
  <c r="AB76" i="44"/>
  <c r="X75" i="44"/>
  <c r="AB75" i="44" s="1"/>
  <c r="W75" i="44"/>
  <c r="AB74" i="44"/>
  <c r="W74" i="44"/>
  <c r="V74" i="44"/>
  <c r="AB73" i="44"/>
  <c r="W73" i="44"/>
  <c r="W72" i="44"/>
  <c r="AB71" i="44"/>
  <c r="W71" i="44"/>
  <c r="W70" i="44"/>
  <c r="V70" i="44"/>
  <c r="O70" i="44"/>
  <c r="P70" i="44" s="1"/>
  <c r="L70" i="44"/>
  <c r="M70" i="44" s="1"/>
  <c r="H70" i="44"/>
  <c r="AB68" i="44"/>
  <c r="X67" i="44"/>
  <c r="AB67" i="44" s="1"/>
  <c r="W67" i="44"/>
  <c r="AB66" i="44"/>
  <c r="W66" i="44"/>
  <c r="V66" i="44"/>
  <c r="AB65" i="44"/>
  <c r="W65" i="44"/>
  <c r="W64" i="44"/>
  <c r="V64" i="44"/>
  <c r="AB63" i="44"/>
  <c r="H63" i="44"/>
  <c r="AB61" i="44"/>
  <c r="AB56" i="44"/>
  <c r="AB55" i="44"/>
  <c r="W55" i="44"/>
  <c r="X54" i="44"/>
  <c r="AB54" i="44" s="1"/>
  <c r="W54" i="44"/>
  <c r="AB53" i="44"/>
  <c r="W53" i="44"/>
  <c r="W52" i="44"/>
  <c r="V52" i="44"/>
  <c r="X51" i="44"/>
  <c r="AB51" i="44" s="1"/>
  <c r="W51" i="44"/>
  <c r="AB50" i="44"/>
  <c r="W50" i="44"/>
  <c r="V50" i="44"/>
  <c r="AB49" i="44"/>
  <c r="W49" i="44"/>
  <c r="W48" i="44"/>
  <c r="AB47" i="44"/>
  <c r="O47" i="44"/>
  <c r="P47" i="44" s="1"/>
  <c r="L47" i="44"/>
  <c r="M47" i="44" s="1"/>
  <c r="H47" i="44"/>
  <c r="AB45" i="44"/>
  <c r="W45" i="44"/>
  <c r="X44" i="44"/>
  <c r="AB44" i="44" s="1"/>
  <c r="W44" i="44"/>
  <c r="AB43" i="44"/>
  <c r="W43" i="44"/>
  <c r="W42" i="44"/>
  <c r="AB41" i="44"/>
  <c r="W41" i="44"/>
  <c r="AB40" i="44"/>
  <c r="W40" i="44"/>
  <c r="V40" i="44"/>
  <c r="AB39" i="44"/>
  <c r="W39" i="44"/>
  <c r="W38" i="44"/>
  <c r="AB37" i="44"/>
  <c r="O37" i="44"/>
  <c r="P37" i="44" s="1"/>
  <c r="L37" i="44"/>
  <c r="M37" i="44" s="1"/>
  <c r="H37" i="44"/>
  <c r="AB36" i="44"/>
  <c r="AB33" i="44"/>
  <c r="W33" i="44"/>
  <c r="AB32" i="44"/>
  <c r="V31" i="44"/>
  <c r="AB30" i="44"/>
  <c r="W30" i="44"/>
  <c r="W29" i="44"/>
  <c r="V29" i="44"/>
  <c r="AB28" i="44"/>
  <c r="W28" i="44"/>
  <c r="W27" i="44"/>
  <c r="V27" i="44"/>
  <c r="O27" i="44"/>
  <c r="P27" i="44" s="1"/>
  <c r="L27" i="44"/>
  <c r="M27" i="44" s="1"/>
  <c r="H27" i="44"/>
  <c r="AB26" i="44"/>
  <c r="AB24" i="44"/>
  <c r="AB23" i="44"/>
  <c r="AB22" i="44"/>
  <c r="W22" i="44"/>
  <c r="AB21" i="44"/>
  <c r="W21" i="44"/>
  <c r="W20" i="44"/>
  <c r="V20" i="44"/>
  <c r="V22" i="44" s="1"/>
  <c r="H20" i="44"/>
  <c r="AB19" i="44"/>
  <c r="AB17" i="44"/>
  <c r="AB16" i="44"/>
  <c r="W16" i="44"/>
  <c r="W15" i="44"/>
  <c r="V15" i="44"/>
  <c r="X14" i="44"/>
  <c r="AB14" i="44" s="1"/>
  <c r="W14" i="44"/>
  <c r="AB13" i="44"/>
  <c r="W13" i="44"/>
  <c r="V13" i="44"/>
  <c r="AB12" i="44"/>
  <c r="W12" i="44"/>
  <c r="W11" i="44"/>
  <c r="V11" i="44"/>
  <c r="AB10" i="44"/>
  <c r="O10" i="44"/>
  <c r="P10" i="44" s="1"/>
  <c r="L10" i="44"/>
  <c r="M10" i="44" s="1"/>
  <c r="H10" i="44"/>
  <c r="H407" i="44" s="1"/>
  <c r="R7" i="44"/>
  <c r="Q7" i="44"/>
  <c r="Q148" i="44" s="1"/>
  <c r="R148" i="44" l="1"/>
  <c r="S148" i="44" s="1"/>
  <c r="AD148" i="44" s="1"/>
  <c r="R401" i="44"/>
  <c r="R359" i="44"/>
  <c r="S359" i="44" s="1"/>
  <c r="AD359" i="44" s="1"/>
  <c r="R282" i="44"/>
  <c r="S282" i="44" s="1"/>
  <c r="AD282" i="44" s="1"/>
  <c r="P285" i="44"/>
  <c r="I407" i="44"/>
  <c r="P415" i="44" s="1"/>
  <c r="Q415" i="44" s="1"/>
  <c r="AC314" i="44"/>
  <c r="AC326" i="44"/>
  <c r="AC395" i="44"/>
  <c r="AC63" i="44"/>
  <c r="AC237" i="44"/>
  <c r="AC243" i="44"/>
  <c r="AC261" i="44"/>
  <c r="AC274" i="44"/>
  <c r="AC285" i="44"/>
  <c r="AC155" i="44"/>
  <c r="AC161" i="44"/>
  <c r="R116" i="44"/>
  <c r="AC176" i="44"/>
  <c r="AC289" i="44"/>
  <c r="AC296" i="44"/>
  <c r="AC303" i="44"/>
  <c r="AC333" i="44"/>
  <c r="AC344" i="44"/>
  <c r="AC375" i="44"/>
  <c r="R70" i="44"/>
  <c r="R173" i="44"/>
  <c r="S173" i="44" s="1"/>
  <c r="AD173" i="44" s="1"/>
  <c r="L326" i="44"/>
  <c r="R176" i="44"/>
  <c r="S176" i="44" s="1"/>
  <c r="R186" i="44"/>
  <c r="R193" i="44"/>
  <c r="AC193" i="44"/>
  <c r="AC20" i="44"/>
  <c r="AC37" i="44"/>
  <c r="AC70" i="44"/>
  <c r="R85" i="44"/>
  <c r="AC120" i="44"/>
  <c r="V130" i="44"/>
  <c r="R155" i="44"/>
  <c r="AC291" i="44"/>
  <c r="AC385" i="44"/>
  <c r="R207" i="44"/>
  <c r="AC10" i="44"/>
  <c r="AC27" i="44"/>
  <c r="AC47" i="44"/>
  <c r="AC86" i="44"/>
  <c r="AC101" i="44"/>
  <c r="AC116" i="44"/>
  <c r="R120" i="44"/>
  <c r="AC166" i="44"/>
  <c r="R174" i="44"/>
  <c r="S174" i="44" s="1"/>
  <c r="AD174" i="44" s="1"/>
  <c r="R175" i="44"/>
  <c r="S175" i="44" s="1"/>
  <c r="AD175" i="44" s="1"/>
  <c r="AC198" i="44"/>
  <c r="AC207" i="44"/>
  <c r="L333" i="44"/>
  <c r="L375" i="44"/>
  <c r="X192" i="44"/>
  <c r="AB192" i="44" s="1"/>
  <c r="AB191" i="44"/>
  <c r="Q27" i="44"/>
  <c r="Q47" i="44"/>
  <c r="Q85" i="44"/>
  <c r="Q120" i="44"/>
  <c r="AB226" i="44"/>
  <c r="X228" i="44"/>
  <c r="AB228" i="44" s="1"/>
  <c r="R243" i="44"/>
  <c r="R254" i="44"/>
  <c r="R261" i="44"/>
  <c r="R268" i="44"/>
  <c r="R274" i="44"/>
  <c r="Q375" i="44"/>
  <c r="Q268" i="44"/>
  <c r="Q261" i="44"/>
  <c r="Q254" i="44"/>
  <c r="Q243" i="44"/>
  <c r="Q274" i="44"/>
  <c r="Q237" i="44"/>
  <c r="Q221" i="44"/>
  <c r="Q207" i="44"/>
  <c r="Q193" i="44"/>
  <c r="R375" i="44"/>
  <c r="S375" i="44" s="1"/>
  <c r="R333" i="44"/>
  <c r="R326" i="44"/>
  <c r="R303" i="44"/>
  <c r="R291" i="44"/>
  <c r="R285" i="44"/>
  <c r="R395" i="44"/>
  <c r="R314" i="44"/>
  <c r="R296" i="44"/>
  <c r="S296" i="44" s="1"/>
  <c r="Q10" i="44"/>
  <c r="Q37" i="44"/>
  <c r="Q70" i="44"/>
  <c r="Q116" i="44"/>
  <c r="Q155" i="44"/>
  <c r="Q186" i="44"/>
  <c r="R221" i="44"/>
  <c r="R237" i="44"/>
  <c r="Q285" i="44"/>
  <c r="Q333" i="44"/>
  <c r="L285" i="44"/>
  <c r="Q291" i="44"/>
  <c r="Q303" i="44"/>
  <c r="Q314" i="44"/>
  <c r="P326" i="44"/>
  <c r="Q395" i="44"/>
  <c r="I366" i="41"/>
  <c r="P366" i="41" s="1"/>
  <c r="S291" i="44" l="1"/>
  <c r="S401" i="44"/>
  <c r="AD401" i="44" s="1"/>
  <c r="P407" i="44"/>
  <c r="P416" i="44" s="1"/>
  <c r="S120" i="44"/>
  <c r="AD120" i="44" s="1"/>
  <c r="AD176" i="44"/>
  <c r="R407" i="44"/>
  <c r="S417" i="44" s="1"/>
  <c r="AD296" i="44"/>
  <c r="AD375" i="44"/>
  <c r="S10" i="44"/>
  <c r="AD291" i="44"/>
  <c r="S333" i="44"/>
  <c r="AD333" i="44" s="1"/>
  <c r="S186" i="44"/>
  <c r="S116" i="44"/>
  <c r="AD116" i="44" s="1"/>
  <c r="S37" i="44"/>
  <c r="AD37" i="44" s="1"/>
  <c r="S303" i="44"/>
  <c r="AD303" i="44" s="1"/>
  <c r="S221" i="44"/>
  <c r="S207" i="44"/>
  <c r="AD207" i="44" s="1"/>
  <c r="S47" i="44"/>
  <c r="AD47" i="44" s="1"/>
  <c r="S70" i="44"/>
  <c r="AD70" i="44" s="1"/>
  <c r="S85" i="44"/>
  <c r="AD85" i="44" s="1"/>
  <c r="S395" i="44"/>
  <c r="AD395" i="44" s="1"/>
  <c r="S314" i="44"/>
  <c r="AD314" i="44" s="1"/>
  <c r="S237" i="44"/>
  <c r="AD237" i="44" s="1"/>
  <c r="AC186" i="44"/>
  <c r="S285" i="44"/>
  <c r="AD285" i="44" s="1"/>
  <c r="S155" i="44"/>
  <c r="AD155" i="44" s="1"/>
  <c r="S193" i="44"/>
  <c r="AD193" i="44" s="1"/>
  <c r="S27" i="44"/>
  <c r="AD27" i="44" s="1"/>
  <c r="S261" i="44"/>
  <c r="AD261" i="44" s="1"/>
  <c r="S243" i="44"/>
  <c r="AD243" i="44" s="1"/>
  <c r="S274" i="44"/>
  <c r="AD274" i="44" s="1"/>
  <c r="Q326" i="44"/>
  <c r="S326" i="44" s="1"/>
  <c r="AD326" i="44" s="1"/>
  <c r="S268" i="44"/>
  <c r="AD268" i="44" s="1"/>
  <c r="S254" i="44"/>
  <c r="AD254" i="44" s="1"/>
  <c r="AC221" i="44"/>
  <c r="Q219" i="41"/>
  <c r="P219" i="41"/>
  <c r="AC407" i="44" l="1"/>
  <c r="S407" i="44"/>
  <c r="AD10" i="44"/>
  <c r="Q407" i="44"/>
  <c r="Q416" i="44" s="1"/>
  <c r="AD186" i="44"/>
  <c r="AD221" i="44"/>
  <c r="G419" i="41"/>
  <c r="K419" i="41"/>
  <c r="N419" i="41"/>
  <c r="E419" i="41"/>
  <c r="AB292" i="41"/>
  <c r="AB291" i="41"/>
  <c r="W291" i="41"/>
  <c r="AB290" i="41"/>
  <c r="W290" i="41"/>
  <c r="W289" i="41"/>
  <c r="V289" i="41"/>
  <c r="U289" i="41"/>
  <c r="AB288" i="41"/>
  <c r="W288" i="41"/>
  <c r="W287" i="41"/>
  <c r="V287" i="41"/>
  <c r="AB286" i="41"/>
  <c r="O286" i="41"/>
  <c r="P286" i="41" s="1"/>
  <c r="L286" i="41"/>
  <c r="M286" i="41" s="1"/>
  <c r="H286" i="41"/>
  <c r="AB284" i="41"/>
  <c r="W284" i="41"/>
  <c r="W283" i="41"/>
  <c r="V283" i="41"/>
  <c r="AB282" i="41"/>
  <c r="W282" i="41"/>
  <c r="V282" i="41"/>
  <c r="W281" i="41"/>
  <c r="AB280" i="41"/>
  <c r="P280" i="41"/>
  <c r="O280" i="41"/>
  <c r="L280" i="41"/>
  <c r="M280" i="41" s="1"/>
  <c r="H280" i="41"/>
  <c r="AB279" i="41"/>
  <c r="AB278" i="41"/>
  <c r="W278" i="41"/>
  <c r="AB277" i="41"/>
  <c r="W277" i="41"/>
  <c r="V277" i="41"/>
  <c r="W276" i="41"/>
  <c r="AB275" i="41"/>
  <c r="W275" i="41"/>
  <c r="V275" i="41"/>
  <c r="W274" i="41"/>
  <c r="AB273" i="41"/>
  <c r="P273" i="41"/>
  <c r="O273" i="41"/>
  <c r="L273" i="41"/>
  <c r="M273" i="41" s="1"/>
  <c r="AB271" i="41"/>
  <c r="W271" i="41"/>
  <c r="AB270" i="41"/>
  <c r="W270" i="41"/>
  <c r="W269" i="41"/>
  <c r="V269" i="41"/>
  <c r="AB268" i="41"/>
  <c r="W268" i="41"/>
  <c r="W267" i="41"/>
  <c r="V267" i="41"/>
  <c r="AB266" i="41"/>
  <c r="P266" i="41"/>
  <c r="O266" i="41"/>
  <c r="L266" i="41"/>
  <c r="M266" i="41" s="1"/>
  <c r="H266" i="41"/>
  <c r="AB265" i="41"/>
  <c r="AB264" i="41"/>
  <c r="W264" i="41"/>
  <c r="AB263" i="41"/>
  <c r="W263" i="41"/>
  <c r="W262" i="41"/>
  <c r="V262" i="41"/>
  <c r="AB261" i="41"/>
  <c r="W261" i="41"/>
  <c r="AB260" i="41"/>
  <c r="W260" i="41"/>
  <c r="V260" i="41"/>
  <c r="AB259" i="41"/>
  <c r="W259" i="41"/>
  <c r="W258" i="41"/>
  <c r="AB257" i="41"/>
  <c r="W257" i="41"/>
  <c r="W256" i="41"/>
  <c r="V256" i="41"/>
  <c r="AB255" i="41"/>
  <c r="P255" i="41"/>
  <c r="O255" i="41"/>
  <c r="L255" i="41"/>
  <c r="M255" i="41" s="1"/>
  <c r="AB253" i="41"/>
  <c r="W253" i="41"/>
  <c r="W252" i="41"/>
  <c r="V252" i="41"/>
  <c r="AB251" i="41"/>
  <c r="W251" i="41"/>
  <c r="W250" i="41"/>
  <c r="U250" i="41"/>
  <c r="V250" i="41" s="1"/>
  <c r="AB249" i="41"/>
  <c r="AC249" i="41" s="1"/>
  <c r="O249" i="41"/>
  <c r="P249" i="41" s="1"/>
  <c r="L249" i="41"/>
  <c r="M249" i="41" s="1"/>
  <c r="H249" i="41"/>
  <c r="AB245" i="41"/>
  <c r="W245" i="41"/>
  <c r="AB244" i="41"/>
  <c r="W244" i="41"/>
  <c r="X243" i="41"/>
  <c r="AB243" i="41" s="1"/>
  <c r="W243" i="41"/>
  <c r="AB242" i="41"/>
  <c r="W242" i="41"/>
  <c r="W241" i="41"/>
  <c r="V241" i="41"/>
  <c r="W240" i="41"/>
  <c r="AB239" i="41"/>
  <c r="W239" i="41"/>
  <c r="V239" i="41"/>
  <c r="W238" i="41"/>
  <c r="W237" i="41"/>
  <c r="AB236" i="41"/>
  <c r="W236" i="41"/>
  <c r="W235" i="41"/>
  <c r="AB234" i="41"/>
  <c r="W234" i="41"/>
  <c r="W233" i="41"/>
  <c r="V233" i="41"/>
  <c r="X238" i="41" s="1"/>
  <c r="AB238" i="41" s="1"/>
  <c r="O233" i="41"/>
  <c r="P233" i="41" s="1"/>
  <c r="L233" i="41"/>
  <c r="M233" i="41" s="1"/>
  <c r="Y232" i="41"/>
  <c r="AB231" i="41"/>
  <c r="AB229" i="41"/>
  <c r="W229" i="41"/>
  <c r="W228" i="41"/>
  <c r="AB227" i="41"/>
  <c r="AB226" i="41"/>
  <c r="V225" i="41"/>
  <c r="AB224" i="41"/>
  <c r="W224" i="41"/>
  <c r="W223" i="41"/>
  <c r="X222" i="41"/>
  <c r="AB222" i="41" s="1"/>
  <c r="W222" i="41"/>
  <c r="AB221" i="41"/>
  <c r="W221" i="41"/>
  <c r="V221" i="41"/>
  <c r="AB220" i="41"/>
  <c r="W220" i="41"/>
  <c r="W219" i="41"/>
  <c r="V219" i="41"/>
  <c r="O219" i="41"/>
  <c r="L219" i="41"/>
  <c r="M219" i="41" s="1"/>
  <c r="R219" i="41" s="1"/>
  <c r="AB218" i="41"/>
  <c r="AB216" i="41"/>
  <c r="AB214" i="41"/>
  <c r="AB213" i="41"/>
  <c r="AB211" i="41"/>
  <c r="W211" i="41"/>
  <c r="W210" i="41"/>
  <c r="V210" i="41"/>
  <c r="V214" i="41" s="1"/>
  <c r="AB209" i="41"/>
  <c r="AB208" i="41"/>
  <c r="AB206" i="41"/>
  <c r="V205" i="41"/>
  <c r="V207" i="41" s="1"/>
  <c r="O205" i="41"/>
  <c r="P205" i="41" s="1"/>
  <c r="L205" i="41"/>
  <c r="M205" i="41" s="1"/>
  <c r="AB198" i="41"/>
  <c r="AB197" i="41"/>
  <c r="W197" i="41"/>
  <c r="W196" i="41"/>
  <c r="AB195" i="41"/>
  <c r="W195" i="41"/>
  <c r="W194" i="41"/>
  <c r="AB193" i="41"/>
  <c r="W193" i="41"/>
  <c r="H193" i="41"/>
  <c r="W192" i="41"/>
  <c r="O192" i="41"/>
  <c r="I192" i="41"/>
  <c r="V196" i="41" s="1"/>
  <c r="H192" i="41"/>
  <c r="AB188" i="41"/>
  <c r="V187" i="41"/>
  <c r="X190" i="41" s="1"/>
  <c r="AB186" i="41"/>
  <c r="W186" i="41"/>
  <c r="W185" i="41"/>
  <c r="V185" i="41"/>
  <c r="O185" i="41"/>
  <c r="P185" i="41" s="1"/>
  <c r="L185" i="41"/>
  <c r="M185" i="41" s="1"/>
  <c r="H185" i="41"/>
  <c r="AB184" i="41"/>
  <c r="X181" i="41"/>
  <c r="AB181" i="41" s="1"/>
  <c r="AB180" i="41"/>
  <c r="V179" i="41"/>
  <c r="X178" i="41"/>
  <c r="AB178" i="41" s="1"/>
  <c r="W178" i="41"/>
  <c r="AB177" i="41"/>
  <c r="W177" i="41"/>
  <c r="V177" i="41"/>
  <c r="AB176" i="41"/>
  <c r="W176" i="41"/>
  <c r="W175" i="41"/>
  <c r="V175" i="41"/>
  <c r="P175" i="41"/>
  <c r="Q175" i="41" s="1"/>
  <c r="L175" i="41"/>
  <c r="M175" i="41" s="1"/>
  <c r="H175" i="41"/>
  <c r="X174" i="41"/>
  <c r="AB174" i="41" s="1"/>
  <c r="AC174" i="41" s="1"/>
  <c r="P174" i="41"/>
  <c r="Q174" i="41" s="1"/>
  <c r="L174" i="41"/>
  <c r="M174" i="41" s="1"/>
  <c r="H174" i="41"/>
  <c r="AB173" i="41"/>
  <c r="AC173" i="41" s="1"/>
  <c r="P173" i="41"/>
  <c r="Q173" i="41" s="1"/>
  <c r="L173" i="41"/>
  <c r="M173" i="41" s="1"/>
  <c r="AB172" i="41"/>
  <c r="AC172" i="41" s="1"/>
  <c r="P172" i="41"/>
  <c r="Q172" i="41" s="1"/>
  <c r="L172" i="41"/>
  <c r="M172" i="41" s="1"/>
  <c r="H172" i="41"/>
  <c r="X167" i="41"/>
  <c r="AB167" i="41" s="1"/>
  <c r="W167" i="41"/>
  <c r="AB166" i="41"/>
  <c r="W166" i="41"/>
  <c r="W165" i="41"/>
  <c r="V165" i="41"/>
  <c r="V167" i="41" s="1"/>
  <c r="X164" i="41"/>
  <c r="AB164" i="41" s="1"/>
  <c r="W164" i="41"/>
  <c r="AB163" i="41"/>
  <c r="W163" i="41"/>
  <c r="W162" i="41"/>
  <c r="V162" i="41"/>
  <c r="AB161" i="41"/>
  <c r="W161" i="41"/>
  <c r="W160" i="41"/>
  <c r="V160" i="41"/>
  <c r="AB159" i="41"/>
  <c r="W159" i="41"/>
  <c r="W158" i="41"/>
  <c r="V158" i="41"/>
  <c r="AB157" i="41"/>
  <c r="W157" i="41"/>
  <c r="W156" i="41"/>
  <c r="AB155" i="41"/>
  <c r="W155" i="41"/>
  <c r="W154" i="41"/>
  <c r="V154" i="41"/>
  <c r="O154" i="41"/>
  <c r="P154" i="41" s="1"/>
  <c r="L154" i="41"/>
  <c r="M154" i="41" s="1"/>
  <c r="H154" i="41"/>
  <c r="X153" i="41"/>
  <c r="AB153" i="41" s="1"/>
  <c r="AB152" i="41"/>
  <c r="V151" i="41"/>
  <c r="AB150" i="41"/>
  <c r="W150" i="41"/>
  <c r="AB149" i="41"/>
  <c r="W149" i="41"/>
  <c r="V149" i="41"/>
  <c r="AB148" i="41"/>
  <c r="W148" i="41"/>
  <c r="W147" i="41"/>
  <c r="V147" i="41"/>
  <c r="O147" i="41"/>
  <c r="P147" i="41" s="1"/>
  <c r="L147" i="41"/>
  <c r="M147" i="41" s="1"/>
  <c r="H147" i="41"/>
  <c r="AB134" i="41"/>
  <c r="AB132" i="41"/>
  <c r="AB130" i="41"/>
  <c r="W130" i="41"/>
  <c r="W129" i="41"/>
  <c r="AB128" i="41"/>
  <c r="W128" i="41"/>
  <c r="W127" i="41"/>
  <c r="V127" i="41"/>
  <c r="AE126" i="41"/>
  <c r="V131" i="41" s="1"/>
  <c r="AB126" i="41"/>
  <c r="AB124" i="41"/>
  <c r="V123" i="41"/>
  <c r="AB122" i="41"/>
  <c r="W122" i="41"/>
  <c r="W121" i="41"/>
  <c r="AB120" i="41"/>
  <c r="W120" i="41"/>
  <c r="W119" i="41"/>
  <c r="V119" i="41"/>
  <c r="O119" i="41"/>
  <c r="P119" i="41" s="1"/>
  <c r="L119" i="41"/>
  <c r="M119" i="41" s="1"/>
  <c r="H119" i="41"/>
  <c r="AB118" i="41"/>
  <c r="AB117" i="41"/>
  <c r="V117" i="41"/>
  <c r="AB116" i="41"/>
  <c r="V115" i="41"/>
  <c r="P115" i="41"/>
  <c r="O115" i="41"/>
  <c r="L115" i="41"/>
  <c r="M115" i="41" s="1"/>
  <c r="AB112" i="41"/>
  <c r="AB108" i="41"/>
  <c r="AB107" i="41"/>
  <c r="W107" i="41"/>
  <c r="X106" i="41"/>
  <c r="AB106" i="41" s="1"/>
  <c r="W106" i="41"/>
  <c r="AB105" i="41"/>
  <c r="W105" i="41"/>
  <c r="W104" i="41"/>
  <c r="V104" i="41"/>
  <c r="X103" i="41"/>
  <c r="AB103" i="41" s="1"/>
  <c r="W103" i="41"/>
  <c r="AB102" i="41"/>
  <c r="W102" i="41"/>
  <c r="V102" i="41"/>
  <c r="AB101" i="41"/>
  <c r="W101" i="41"/>
  <c r="W100" i="41"/>
  <c r="V100" i="41"/>
  <c r="H100" i="41"/>
  <c r="AB98" i="41"/>
  <c r="AB97" i="41"/>
  <c r="AB96" i="41"/>
  <c r="AB95" i="41"/>
  <c r="AB93" i="41"/>
  <c r="X92" i="41"/>
  <c r="AB92" i="41" s="1"/>
  <c r="W92" i="41"/>
  <c r="AB91" i="41"/>
  <c r="W91" i="41"/>
  <c r="W90" i="41"/>
  <c r="V90" i="41"/>
  <c r="X89" i="41"/>
  <c r="AB89" i="41" s="1"/>
  <c r="W89" i="41"/>
  <c r="AB88" i="41"/>
  <c r="W88" i="41"/>
  <c r="V88" i="41"/>
  <c r="AB87" i="41"/>
  <c r="W87" i="41"/>
  <c r="W86" i="41"/>
  <c r="AB85" i="41"/>
  <c r="W85" i="41"/>
  <c r="W84" i="41"/>
  <c r="V84" i="41"/>
  <c r="O84" i="41"/>
  <c r="P84" i="41" s="1"/>
  <c r="L84" i="41"/>
  <c r="M84" i="41" s="1"/>
  <c r="H84" i="41"/>
  <c r="AB83" i="41"/>
  <c r="AB75" i="41"/>
  <c r="X74" i="41"/>
  <c r="AB74" i="41" s="1"/>
  <c r="W74" i="41"/>
  <c r="AB73" i="41"/>
  <c r="W73" i="41"/>
  <c r="V73" i="41"/>
  <c r="AB72" i="41"/>
  <c r="W72" i="41"/>
  <c r="W71" i="41"/>
  <c r="AB70" i="41"/>
  <c r="W70" i="41"/>
  <c r="W69" i="41"/>
  <c r="V69" i="41"/>
  <c r="P69" i="41"/>
  <c r="O69" i="41"/>
  <c r="L69" i="41"/>
  <c r="M69" i="41" s="1"/>
  <c r="H69" i="41"/>
  <c r="AB67" i="41"/>
  <c r="X66" i="41"/>
  <c r="AB66" i="41" s="1"/>
  <c r="W66" i="41"/>
  <c r="AB65" i="41"/>
  <c r="W65" i="41"/>
  <c r="V65" i="41"/>
  <c r="AB64" i="41"/>
  <c r="W64" i="41"/>
  <c r="W63" i="41"/>
  <c r="V63" i="41"/>
  <c r="AB62" i="41"/>
  <c r="H62" i="41"/>
  <c r="AB60" i="41"/>
  <c r="AB55" i="41"/>
  <c r="AB54" i="41"/>
  <c r="W54" i="41"/>
  <c r="X53" i="41"/>
  <c r="AB53" i="41" s="1"/>
  <c r="W53" i="41"/>
  <c r="AB52" i="41"/>
  <c r="W52" i="41"/>
  <c r="W51" i="41"/>
  <c r="V51" i="41"/>
  <c r="X50" i="41"/>
  <c r="AB50" i="41" s="1"/>
  <c r="W50" i="41"/>
  <c r="AB49" i="41"/>
  <c r="W49" i="41"/>
  <c r="V49" i="41"/>
  <c r="AB48" i="41"/>
  <c r="W48" i="41"/>
  <c r="W47" i="41"/>
  <c r="AB46" i="41"/>
  <c r="O46" i="41"/>
  <c r="P46" i="41" s="1"/>
  <c r="L46" i="41"/>
  <c r="M46" i="41" s="1"/>
  <c r="H46" i="41"/>
  <c r="AB44" i="41"/>
  <c r="W44" i="41"/>
  <c r="X43" i="41"/>
  <c r="AB43" i="41" s="1"/>
  <c r="W43" i="41"/>
  <c r="AB42" i="41"/>
  <c r="W42" i="41"/>
  <c r="W41" i="41"/>
  <c r="V41" i="41"/>
  <c r="AB40" i="41"/>
  <c r="W40" i="41"/>
  <c r="AB39" i="41"/>
  <c r="W39" i="41"/>
  <c r="V39" i="41"/>
  <c r="AB38" i="41"/>
  <c r="W38" i="41"/>
  <c r="W37" i="41"/>
  <c r="V37" i="41"/>
  <c r="AB36" i="41"/>
  <c r="O36" i="41"/>
  <c r="P36" i="41" s="1"/>
  <c r="L36" i="41"/>
  <c r="M36" i="41" s="1"/>
  <c r="H36" i="41"/>
  <c r="AB35" i="41"/>
  <c r="AB32" i="41"/>
  <c r="W32" i="41"/>
  <c r="AB31" i="41"/>
  <c r="V30" i="41"/>
  <c r="AB29" i="41"/>
  <c r="W29" i="41"/>
  <c r="W28" i="41"/>
  <c r="V28" i="41"/>
  <c r="AB27" i="41"/>
  <c r="W27" i="41"/>
  <c r="W26" i="41"/>
  <c r="V26" i="41"/>
  <c r="O26" i="41"/>
  <c r="P26" i="41" s="1"/>
  <c r="L26" i="41"/>
  <c r="M26" i="41" s="1"/>
  <c r="H26" i="41"/>
  <c r="AB25" i="41"/>
  <c r="AB23" i="41"/>
  <c r="AB22" i="41"/>
  <c r="AB21" i="41"/>
  <c r="W21" i="41"/>
  <c r="AB20" i="41"/>
  <c r="W20" i="41"/>
  <c r="W19" i="41"/>
  <c r="V19" i="41"/>
  <c r="V21" i="41" s="1"/>
  <c r="H19" i="41"/>
  <c r="AB18" i="41"/>
  <c r="AB16" i="41"/>
  <c r="AB15" i="41"/>
  <c r="W15" i="41"/>
  <c r="W14" i="41"/>
  <c r="V14" i="41"/>
  <c r="X13" i="41"/>
  <c r="AB13" i="41" s="1"/>
  <c r="W13" i="41"/>
  <c r="AB12" i="41"/>
  <c r="W12" i="41"/>
  <c r="V12" i="41"/>
  <c r="AB11" i="41"/>
  <c r="W11" i="41"/>
  <c r="W10" i="41"/>
  <c r="V10" i="41"/>
  <c r="AB9" i="41"/>
  <c r="O9" i="41"/>
  <c r="P9" i="41" s="1"/>
  <c r="L9" i="41"/>
  <c r="M9" i="41" s="1"/>
  <c r="H9" i="41"/>
  <c r="AD407" i="44" l="1"/>
  <c r="AC160" i="41"/>
  <c r="AC69" i="41"/>
  <c r="AC119" i="41"/>
  <c r="V129" i="41"/>
  <c r="AC205" i="41"/>
  <c r="AC219" i="41"/>
  <c r="AC286" i="41"/>
  <c r="AC62" i="41"/>
  <c r="AC46" i="41"/>
  <c r="AC26" i="41"/>
  <c r="AC85" i="41"/>
  <c r="AC115" i="41"/>
  <c r="AC147" i="41"/>
  <c r="AC192" i="41"/>
  <c r="AC210" i="41"/>
  <c r="AC36" i="41"/>
  <c r="V192" i="41"/>
  <c r="AC9" i="41"/>
  <c r="AC19" i="41"/>
  <c r="AC100" i="41"/>
  <c r="AC154" i="41"/>
  <c r="AC165" i="41"/>
  <c r="AC175" i="41"/>
  <c r="J192" i="41"/>
  <c r="J419" i="41" s="1"/>
  <c r="P192" i="41"/>
  <c r="X240" i="41"/>
  <c r="AB240" i="41" s="1"/>
  <c r="AC233" i="41" s="1"/>
  <c r="AB190" i="41"/>
  <c r="X191" i="41"/>
  <c r="AB191" i="41" s="1"/>
  <c r="AC255" i="41"/>
  <c r="AC266" i="41"/>
  <c r="AC273" i="41"/>
  <c r="AC280" i="41"/>
  <c r="V194" i="41"/>
  <c r="AB310" i="41"/>
  <c r="L192" i="41" l="1"/>
  <c r="M192" i="41" s="1"/>
  <c r="AC185" i="41"/>
  <c r="AB394" i="41"/>
  <c r="AB362" i="41" l="1"/>
  <c r="AB361" i="41"/>
  <c r="AB360" i="41"/>
  <c r="AC359" i="41" l="1"/>
  <c r="I359" i="41"/>
  <c r="V359" i="41" s="1"/>
  <c r="H359" i="41"/>
  <c r="P359" i="41" l="1"/>
  <c r="Q359" i="41" s="1"/>
  <c r="V361" i="41"/>
  <c r="L359" i="41"/>
  <c r="V354" i="41"/>
  <c r="AB417" i="41" l="1"/>
  <c r="AB416" i="41"/>
  <c r="V413" i="41"/>
  <c r="V417" i="41" s="1"/>
  <c r="AB414" i="41"/>
  <c r="V410" i="41"/>
  <c r="V408" i="41"/>
  <c r="AB404" i="41" l="1"/>
  <c r="V403" i="41"/>
  <c r="AB405" i="41"/>
  <c r="AB397" i="41" l="1"/>
  <c r="AB396" i="41"/>
  <c r="AB395" i="41"/>
  <c r="V393" i="41"/>
  <c r="V395" i="41" s="1"/>
  <c r="AB393" i="41"/>
  <c r="I393" i="41"/>
  <c r="V377" i="41"/>
  <c r="AC393" i="41" l="1"/>
  <c r="AB383" i="41"/>
  <c r="V379" i="41"/>
  <c r="AB380" i="41"/>
  <c r="AB379" i="41"/>
  <c r="AB375" i="41"/>
  <c r="AB374" i="41"/>
  <c r="AB373" i="41"/>
  <c r="V370" i="41"/>
  <c r="V371" i="41" s="1"/>
  <c r="AB372" i="41"/>
  <c r="AB371" i="41"/>
  <c r="V369" i="41"/>
  <c r="AB369" i="41"/>
  <c r="V367" i="41"/>
  <c r="AB366" i="41"/>
  <c r="AB367" i="41"/>
  <c r="AB368" i="41"/>
  <c r="V350" i="41"/>
  <c r="AB357" i="41"/>
  <c r="AB355" i="41"/>
  <c r="AB351" i="41"/>
  <c r="AB353" i="41"/>
  <c r="V352" i="41"/>
  <c r="V348" i="41"/>
  <c r="AB347" i="41"/>
  <c r="V342" i="41"/>
  <c r="AB345" i="41"/>
  <c r="AB343" i="41"/>
  <c r="V340" i="41" l="1"/>
  <c r="AB341" i="41"/>
  <c r="AB340" i="41"/>
  <c r="AC340" i="41" l="1"/>
  <c r="U333" i="41"/>
  <c r="V333" i="41" s="1"/>
  <c r="V329" i="41"/>
  <c r="X328" i="41"/>
  <c r="AB325" i="41"/>
  <c r="V323" i="41"/>
  <c r="V325" i="41" s="1"/>
  <c r="AB327" i="41"/>
  <c r="AB324" i="41"/>
  <c r="AB317" i="41"/>
  <c r="AB316" i="41"/>
  <c r="AB315" i="41"/>
  <c r="AB314" i="41"/>
  <c r="AB298" i="41" l="1"/>
  <c r="AB299" i="41"/>
  <c r="AB296" i="41"/>
  <c r="V294" i="41"/>
  <c r="V296" i="41" s="1"/>
  <c r="AB295" i="41"/>
  <c r="AB294" i="41"/>
  <c r="X309" i="41" l="1"/>
  <c r="AB309" i="41" s="1"/>
  <c r="V307" i="41"/>
  <c r="V308" i="41" s="1"/>
  <c r="V305" i="41"/>
  <c r="X306" i="41"/>
  <c r="AB306" i="41" s="1"/>
  <c r="AB305" i="41"/>
  <c r="AB304" i="41"/>
  <c r="V301" i="41"/>
  <c r="AB300" i="41"/>
  <c r="P413" i="41" l="1"/>
  <c r="P408" i="41" l="1"/>
  <c r="P347" i="41"/>
  <c r="Q347" i="41" s="1"/>
  <c r="P340" i="41"/>
  <c r="Q340" i="41" s="1"/>
  <c r="P329" i="41"/>
  <c r="P322" i="41"/>
  <c r="P318" i="41"/>
  <c r="P313" i="41"/>
  <c r="P300" i="41"/>
  <c r="Q300" i="41" l="1"/>
  <c r="Q313" i="41"/>
  <c r="Q318" i="41"/>
  <c r="Q322" i="41"/>
  <c r="Q329" i="41"/>
  <c r="H294" i="41"/>
  <c r="L413" i="41" l="1"/>
  <c r="H413" i="41"/>
  <c r="AB411" i="41"/>
  <c r="AB409" i="41"/>
  <c r="Q408" i="41"/>
  <c r="L408" i="41"/>
  <c r="AC403" i="41"/>
  <c r="H403" i="41"/>
  <c r="AB391" i="41"/>
  <c r="AB390" i="41"/>
  <c r="AB382" i="41"/>
  <c r="AB378" i="41"/>
  <c r="AB376" i="41"/>
  <c r="H366" i="41"/>
  <c r="AB349" i="41"/>
  <c r="L347" i="41"/>
  <c r="H347" i="41"/>
  <c r="L340" i="41"/>
  <c r="H340" i="41"/>
  <c r="AB334" i="41"/>
  <c r="AB332" i="41"/>
  <c r="AB330" i="41"/>
  <c r="AB329" i="41"/>
  <c r="L329" i="41"/>
  <c r="H329" i="41"/>
  <c r="AB322" i="41"/>
  <c r="H322" i="41"/>
  <c r="AB321" i="41"/>
  <c r="AB320" i="41"/>
  <c r="AB318" i="41"/>
  <c r="L318" i="41"/>
  <c r="H318" i="41"/>
  <c r="AB313" i="41"/>
  <c r="L313" i="41"/>
  <c r="H313" i="41"/>
  <c r="AB312" i="41"/>
  <c r="AB311" i="41"/>
  <c r="AB308" i="41"/>
  <c r="AB302" i="41"/>
  <c r="L300" i="41"/>
  <c r="H300" i="41"/>
  <c r="H298" i="41"/>
  <c r="AB297" i="41"/>
  <c r="I294" i="41"/>
  <c r="I419" i="41" s="1"/>
  <c r="R6" i="41"/>
  <c r="Q6" i="41"/>
  <c r="H419" i="41" l="1"/>
  <c r="Q280" i="41"/>
  <c r="Q273" i="41"/>
  <c r="Q266" i="41"/>
  <c r="Q255" i="41"/>
  <c r="Q115" i="41"/>
  <c r="Q69" i="41"/>
  <c r="Q9" i="41"/>
  <c r="Q286" i="41"/>
  <c r="Q249" i="41"/>
  <c r="Q233" i="41"/>
  <c r="Q205" i="41"/>
  <c r="Q185" i="41"/>
  <c r="Q154" i="41"/>
  <c r="Q147" i="41"/>
  <c r="Q119" i="41"/>
  <c r="Q84" i="41"/>
  <c r="Q46" i="41"/>
  <c r="Q36" i="41"/>
  <c r="Q26" i="41"/>
  <c r="Q192" i="41"/>
  <c r="R359" i="41"/>
  <c r="S359" i="41" s="1"/>
  <c r="AD359" i="41" s="1"/>
  <c r="R26" i="41"/>
  <c r="R175" i="41"/>
  <c r="S175" i="41" s="1"/>
  <c r="AD175" i="41" s="1"/>
  <c r="R36" i="41"/>
  <c r="S36" i="41" s="1"/>
  <c r="AD36" i="41" s="1"/>
  <c r="R46" i="41"/>
  <c r="S46" i="41" s="1"/>
  <c r="AD46" i="41" s="1"/>
  <c r="R84" i="41"/>
  <c r="S84" i="41" s="1"/>
  <c r="AD84" i="41" s="1"/>
  <c r="R119" i="41"/>
  <c r="S119" i="41" s="1"/>
  <c r="AD119" i="41" s="1"/>
  <c r="R172" i="41"/>
  <c r="S172" i="41" s="1"/>
  <c r="AD172" i="41" s="1"/>
  <c r="R174" i="41"/>
  <c r="S174" i="41" s="1"/>
  <c r="AD174" i="41" s="1"/>
  <c r="R205" i="41"/>
  <c r="R233" i="41"/>
  <c r="R255" i="41"/>
  <c r="S255" i="41" s="1"/>
  <c r="AD255" i="41" s="1"/>
  <c r="R273" i="41"/>
  <c r="R286" i="41"/>
  <c r="S286" i="41" s="1"/>
  <c r="AD286" i="41" s="1"/>
  <c r="R147" i="41"/>
  <c r="R173" i="41"/>
  <c r="S173" i="41" s="1"/>
  <c r="AD173" i="41" s="1"/>
  <c r="S219" i="41"/>
  <c r="AD219" i="41" s="1"/>
  <c r="R266" i="41"/>
  <c r="R280" i="41"/>
  <c r="S280" i="41" s="1"/>
  <c r="AD280" i="41" s="1"/>
  <c r="R154" i="41"/>
  <c r="R185" i="41"/>
  <c r="R69" i="41"/>
  <c r="S69" i="41" s="1"/>
  <c r="AD69" i="41" s="1"/>
  <c r="R115" i="41"/>
  <c r="S115" i="41" s="1"/>
  <c r="AD115" i="41" s="1"/>
  <c r="R249" i="41"/>
  <c r="R9" i="41"/>
  <c r="R192" i="41"/>
  <c r="S192" i="41" s="1"/>
  <c r="AD192" i="41" s="1"/>
  <c r="P294" i="41"/>
  <c r="R408" i="41"/>
  <c r="S408" i="41" s="1"/>
  <c r="R347" i="41"/>
  <c r="S347" i="41" s="1"/>
  <c r="R340" i="41"/>
  <c r="R329" i="41"/>
  <c r="S329" i="41" s="1"/>
  <c r="R322" i="41"/>
  <c r="S322" i="41" s="1"/>
  <c r="R318" i="41"/>
  <c r="S318" i="41" s="1"/>
  <c r="R313" i="41"/>
  <c r="S313" i="41" s="1"/>
  <c r="R300" i="41"/>
  <c r="S300" i="41" s="1"/>
  <c r="R294" i="41"/>
  <c r="P393" i="41"/>
  <c r="Q393" i="41" s="1"/>
  <c r="AC408" i="41"/>
  <c r="AC413" i="41"/>
  <c r="L366" i="41"/>
  <c r="AC298" i="41"/>
  <c r="AC329" i="41"/>
  <c r="AC294" i="41"/>
  <c r="AC366" i="41"/>
  <c r="AC313" i="41"/>
  <c r="AC322" i="41"/>
  <c r="L393" i="41"/>
  <c r="AC300" i="41"/>
  <c r="AC318" i="41"/>
  <c r="AC347" i="41"/>
  <c r="AC377" i="41"/>
  <c r="L294" i="41"/>
  <c r="Q413" i="41"/>
  <c r="R413" i="41"/>
  <c r="R366" i="41"/>
  <c r="R393" i="41"/>
  <c r="S185" i="41" l="1"/>
  <c r="AD185" i="41" s="1"/>
  <c r="S273" i="41"/>
  <c r="AD273" i="41" s="1"/>
  <c r="S233" i="41"/>
  <c r="AD233" i="41" s="1"/>
  <c r="AC419" i="41"/>
  <c r="P419" i="41"/>
  <c r="S9" i="41"/>
  <c r="R419" i="41"/>
  <c r="S249" i="41"/>
  <c r="AD249" i="41" s="1"/>
  <c r="S154" i="41"/>
  <c r="AD154" i="41" s="1"/>
  <c r="S266" i="41"/>
  <c r="AD266" i="41" s="1"/>
  <c r="S205" i="41"/>
  <c r="AD205" i="41" s="1"/>
  <c r="S26" i="41"/>
  <c r="AD26" i="41" s="1"/>
  <c r="S147" i="41"/>
  <c r="AD147" i="41" s="1"/>
  <c r="Q294" i="41"/>
  <c r="Q366" i="41"/>
  <c r="S366" i="41" s="1"/>
  <c r="AD366" i="41" s="1"/>
  <c r="S393" i="41"/>
  <c r="AD393" i="41" s="1"/>
  <c r="AD408" i="41"/>
  <c r="AD313" i="41"/>
  <c r="AD318" i="41"/>
  <c r="AD329" i="41"/>
  <c r="S413" i="41"/>
  <c r="AD413" i="41" s="1"/>
  <c r="AD347" i="41"/>
  <c r="AD322" i="41"/>
  <c r="AD300" i="41"/>
  <c r="S340" i="41"/>
  <c r="AD340" i="41" s="1"/>
  <c r="Q419" i="41" l="1"/>
  <c r="AD9" i="41"/>
  <c r="S294" i="41"/>
  <c r="S419" i="41" s="1"/>
  <c r="AD294" i="41" l="1"/>
  <c r="AD419" i="41" s="1"/>
</calcChain>
</file>

<file path=xl/sharedStrings.xml><?xml version="1.0" encoding="utf-8"?>
<sst xmlns="http://schemas.openxmlformats.org/spreadsheetml/2006/main" count="2477" uniqueCount="729">
  <si>
    <t>đồng/m²</t>
  </si>
  <si>
    <t>Đơn giá</t>
  </si>
  <si>
    <t>đồng/cây</t>
  </si>
  <si>
    <t>giếng</t>
  </si>
  <si>
    <t>STT</t>
  </si>
  <si>
    <t>Đơn giá (đồng)</t>
  </si>
  <si>
    <t>m²</t>
  </si>
  <si>
    <t>m³</t>
  </si>
  <si>
    <t>DANH SÁCH THÔN KIẾN CHÂU</t>
  </si>
  <si>
    <t>Họ Tên</t>
  </si>
  <si>
    <t>GHI Chú</t>
  </si>
  <si>
    <t>Tờ BD</t>
  </si>
  <si>
    <t>Thửa</t>
  </si>
  <si>
    <t xml:space="preserve"> Diện Tích theo TBTH</t>
  </si>
  <si>
    <t>Loại đất</t>
  </si>
  <si>
    <t>Diện tích tiêu chuẩn tại thửa</t>
  </si>
  <si>
    <t>Tổng diện tích sử dụng đất nông nghiệp</t>
  </si>
  <si>
    <t>Số nhân khẩu chia ruộng</t>
  </si>
  <si>
    <t>Số nhân khẩu hỗ trợ gạo</t>
  </si>
  <si>
    <t>Tên cây trồng, hoa màu, công trình, vật kiến trúc bị ảnh hưởng</t>
  </si>
  <si>
    <t>Đơn vị tính</t>
  </si>
  <si>
    <t>Số lượng</t>
  </si>
  <si>
    <t>Khấu hao</t>
  </si>
  <si>
    <t>Hệ số tính (%)</t>
  </si>
  <si>
    <t>Bùi Thị Tám</t>
  </si>
  <si>
    <t>2T-663/3</t>
  </si>
  <si>
    <t>BHK</t>
  </si>
  <si>
    <t>Đặng Đình Ca,Trần Thị Định</t>
  </si>
  <si>
    <t>Đặng Đình Chục,Hoàng Thị Liền</t>
  </si>
  <si>
    <t>3T-49/3,601/3</t>
  </si>
  <si>
    <t>Đặng Đình Chương,Vũ Thị Thắm</t>
  </si>
  <si>
    <t>2T</t>
  </si>
  <si>
    <t>Đặng Đình Cờ,Lê Thị Nguyên</t>
  </si>
  <si>
    <t>3T-254/3,592/3</t>
  </si>
  <si>
    <t>Đặng Đình Dành,Nguyễn Thị Sử</t>
  </si>
  <si>
    <t>Đặng Đình Hà,Lê Thị Thắm</t>
  </si>
  <si>
    <t>Đặng Đình Học,Nguyễn Thị Hợp</t>
  </si>
  <si>
    <t>3T-245/3,589/3</t>
  </si>
  <si>
    <t>Đặng Đình Hường,Lê Thị Gái</t>
  </si>
  <si>
    <t>Đặng Đình Hưởng,Lê Thị Loan</t>
  </si>
  <si>
    <t>3T</t>
  </si>
  <si>
    <t>Đặng Đình Khá,Nguyễn Thị Thà</t>
  </si>
  <si>
    <t>3T-242/3,581/3</t>
  </si>
  <si>
    <t>Đặng Đình Khái,Lê Thị Dự</t>
  </si>
  <si>
    <t>3T-611/3,</t>
  </si>
  <si>
    <t>Đặng Đình Khanh,Lê Thị Thêu</t>
  </si>
  <si>
    <t>Đặng Đình Khi,Lê Thị Tùng</t>
  </si>
  <si>
    <t>Đặng Đình Khiết,Lê Thị Mai</t>
  </si>
  <si>
    <t>Đặng Đình Khói,Nguyễn Thị Rược</t>
  </si>
  <si>
    <t>3T-595/3,257/3</t>
  </si>
  <si>
    <t>Đặng Đình Kiện,Nguyễn Thị Thu</t>
  </si>
  <si>
    <t>Đặng Đình Kiệu,Nguyễn Thị Mến</t>
  </si>
  <si>
    <t>Đặng Đình Lữu</t>
  </si>
  <si>
    <t>Đặng Đình Mạng,Ngô Thị Chín</t>
  </si>
  <si>
    <t>Đặng Đình May,Nguyễn Thị Hạnh</t>
  </si>
  <si>
    <t>Đặng Đình Mốc,Lê Thị Đê</t>
  </si>
  <si>
    <t>Đặng Đình Ngà,Trần Thị Xuyền</t>
  </si>
  <si>
    <t>Đặng Đình Ngoàn,Lê Thị Hậu</t>
  </si>
  <si>
    <t>3T-566/3,634/3</t>
  </si>
  <si>
    <t>Đặng Đình Pha,Phạm Thị Thủy</t>
  </si>
  <si>
    <t>3T-53/3,597/3</t>
  </si>
  <si>
    <t>Đặng Đình Phong,Lê Thị Tuyết</t>
  </si>
  <si>
    <t>Đặng Đình Quân,Lê Thị Hà</t>
  </si>
  <si>
    <t>3T-256/3,594/3,</t>
  </si>
  <si>
    <t>Đặng Đình Quyên,Nguyễn Thị Mát</t>
  </si>
  <si>
    <t>3T-607/3,42/3</t>
  </si>
  <si>
    <t>Đặng Đình Sâm</t>
  </si>
  <si>
    <t>Đặng Đình Sang</t>
  </si>
  <si>
    <t>Đặng Đình Sử,Lê Thị Chiên</t>
  </si>
  <si>
    <t>Đặng Đình Tài,Lê Thị Xuyên</t>
  </si>
  <si>
    <t>3T-38/3,611/3</t>
  </si>
  <si>
    <t>Đặng Đình Tập,Lê Thị Nhẫm</t>
  </si>
  <si>
    <t>3T-31/3,618/3</t>
  </si>
  <si>
    <t>Đặng Đình Thả,Nguyễn Thị Thảnh</t>
  </si>
  <si>
    <t>Đặng Đình Thạp</t>
  </si>
  <si>
    <r>
      <rPr>
        <sz val="13"/>
        <color theme="1"/>
        <rFont val="Times New Roman"/>
        <family val="1"/>
      </rPr>
      <t>Đặng Đình Thống,Lê Thị Thơ-</t>
    </r>
    <r>
      <rPr>
        <sz val="13"/>
        <color rgb="FFFF0000"/>
        <rFont val="Times New Roman"/>
        <family val="1"/>
      </rPr>
      <t>TƠ CỨU</t>
    </r>
  </si>
  <si>
    <t>Đặng Đình Thức,Lê Thị Hạ</t>
  </si>
  <si>
    <t>3T-152/2,233/3</t>
  </si>
  <si>
    <t>Đặng Đình Thực,Lê Thị Lình</t>
  </si>
  <si>
    <t>Đặng Đình Tính- THẢO</t>
  </si>
  <si>
    <t>3T-149/2,237/3</t>
  </si>
  <si>
    <t>Đặng Đình Tô,Lê Thị Song</t>
  </si>
  <si>
    <t>3T-247/3,285/3</t>
  </si>
  <si>
    <t>Đặng Đình Trục,Trần Thị Kích</t>
  </si>
  <si>
    <t>3T-258/3,596/3</t>
  </si>
  <si>
    <t>Đặng Đình Tu,Nguyễn Thị Ngó</t>
  </si>
  <si>
    <t>Đặng Đình Tú,Nguyễn Thị Xành</t>
  </si>
  <si>
    <t>3T-555/3,641/3</t>
  </si>
  <si>
    <t>Đặng Đình Tuynh,Phạm Thị Tuyết</t>
  </si>
  <si>
    <t>3T-599/3,51/3</t>
  </si>
  <si>
    <t>Đặng Đình Vượng,Nguyễn Thị Thuý</t>
  </si>
  <si>
    <t>3T-21/3</t>
  </si>
  <si>
    <t>Đặng Đình Xanh,Nguyễn Thị Gửi</t>
  </si>
  <si>
    <t>3T-63/2,232/3</t>
  </si>
  <si>
    <t>Đặng Đình Y,Đỗ Thị Gấm</t>
  </si>
  <si>
    <t>Đặng Minh Ven,Nguyễn Thị Hoài</t>
  </si>
  <si>
    <t>Đặng Ngọc Thơ,Lê Thị Hoàn</t>
  </si>
  <si>
    <t>Đặng Quang Nghiệp,Trần Thị Hoè</t>
  </si>
  <si>
    <t>Đặng Quang Phức,Dương Thị Huyện- TRỊ+ sáng</t>
  </si>
  <si>
    <t>Đặng Thành Đồng,Đỗ Thị Chín</t>
  </si>
  <si>
    <t>Đặng Thanh Sơn,Nguyễn Thị Hoa</t>
  </si>
  <si>
    <t>Đặng Thế Uy,Lê Thị Nập</t>
  </si>
  <si>
    <t>Đặng Thị Chí</t>
  </si>
  <si>
    <t>Đặng Thị Cùng</t>
  </si>
  <si>
    <t>3T-250/3,588/3</t>
  </si>
  <si>
    <t>Đặng Thị Dậu</t>
  </si>
  <si>
    <t>Đặng Thị Đường</t>
  </si>
  <si>
    <t>2T-218/2</t>
  </si>
  <si>
    <t>Đặng Thị Khay</t>
  </si>
  <si>
    <t>Đặng Thị Khuê</t>
  </si>
  <si>
    <t>Đặng Thị Là</t>
  </si>
  <si>
    <t>Đặng Thị Mát</t>
  </si>
  <si>
    <t>Đặng Thị Nhắt</t>
  </si>
  <si>
    <t>Đặng Thị Phi</t>
  </si>
  <si>
    <t>Đặng Thị Thoa- Hoàng Sĩ Mô</t>
  </si>
  <si>
    <t>Đặng Thị Thuỷ- Việt</t>
  </si>
  <si>
    <t>Đặng Thị Tịnh</t>
  </si>
  <si>
    <t>Đặng Thị Tỵ</t>
  </si>
  <si>
    <t>Đặng Trần Dưỡng,Đỗ Thị Xoan</t>
  </si>
  <si>
    <t>Đặng Văn Hiệp,Lê Thị Liễu</t>
  </si>
  <si>
    <t>Đặng Văn Kha,Nguyễn Thị Miến</t>
  </si>
  <si>
    <t>Đặng Văn Kỹ,Dương Thị Tưởng</t>
  </si>
  <si>
    <t>3T-48/3,602/3</t>
  </si>
  <si>
    <t>Đặng Văn Lĩnh,Lê Thị Dung</t>
  </si>
  <si>
    <t>3T-552/3,644/3</t>
  </si>
  <si>
    <t>Đặng Văn Tỳ,Lê Thị Miền</t>
  </si>
  <si>
    <t>3T-613/3,36/3</t>
  </si>
  <si>
    <t>Đặng Xuân Mùa,Lê Thị Oanh+ thuỷ (việt)</t>
  </si>
  <si>
    <t>3T-562/3,637/3</t>
  </si>
  <si>
    <t>Đặng Xuân Phóng,Trần Thị Thạch</t>
  </si>
  <si>
    <t>Đặng Xuân Thụ,Nguyễn Thị Vinh</t>
  </si>
  <si>
    <t>3T-238/3,576/3</t>
  </si>
  <si>
    <t>Đặng Xuân Tuyến,Bùi Thị Biển</t>
  </si>
  <si>
    <t>3T-251/3,589/3</t>
  </si>
  <si>
    <t>Đỗ Thị Hưởng,Nguyễn Văn Thu</t>
  </si>
  <si>
    <t>Đỗ Thị Mạnh</t>
  </si>
  <si>
    <t>2T-</t>
  </si>
  <si>
    <t>Đỗ Thị Năm</t>
  </si>
  <si>
    <t>Đỗ Thị Nháng</t>
  </si>
  <si>
    <t>2T-255/3</t>
  </si>
  <si>
    <t>Dương Thị Sơn- THUỶ ĐÌNH</t>
  </si>
  <si>
    <t>Hoàng Sĩ Hà,Nguyễn Thị Kịch</t>
  </si>
  <si>
    <t>Hoàng Sĩ Vọng,Trần Thị Liền</t>
  </si>
  <si>
    <t>Hoàng Sỹ Thám,Lê Thị Ngoan</t>
  </si>
  <si>
    <t>Hoàng Thị Quạt</t>
  </si>
  <si>
    <t>3T-241/3,580/3</t>
  </si>
  <si>
    <t>Hoàng Thị Xưa- thành miến</t>
  </si>
  <si>
    <t>Hoàng Văn Khắc,Lê Thị Miện</t>
  </si>
  <si>
    <t>3-261/3,652/3</t>
  </si>
  <si>
    <t>Lê Hồng Thập,Đặng Thị Mây</t>
  </si>
  <si>
    <t>3T-252/3,590/3</t>
  </si>
  <si>
    <t>Lê Hữu Phước,Trần Thị Nhẫn</t>
  </si>
  <si>
    <t>2T-27/3</t>
  </si>
  <si>
    <t>Lê Minh Hạ,Nguyễn Thị Phương</t>
  </si>
  <si>
    <t>Lê Minh Tùy -MỲ</t>
  </si>
  <si>
    <t>Lê Thị Chuyển</t>
  </si>
  <si>
    <t>3T-41/3,608/3</t>
  </si>
  <si>
    <t>Lê Thị Cờ</t>
  </si>
  <si>
    <t>Lê Thị Dậu,Đặng Đình Kiệm</t>
  </si>
  <si>
    <t>Lê Thị Dung- NHO</t>
  </si>
  <si>
    <t>Lê Thị Duyên</t>
  </si>
  <si>
    <t>3T-568/3,632/3</t>
  </si>
  <si>
    <t>Lê Thị Lác</t>
  </si>
  <si>
    <t>Lê Thị Lan- lê văn thơ ( phượng)</t>
  </si>
  <si>
    <t>Lê Thị Mùi- thuý</t>
  </si>
  <si>
    <t>Lê Thị Yên</t>
  </si>
  <si>
    <t>Lê Văn Bằng,Hoàng Thị Thanh</t>
  </si>
  <si>
    <t>Lê Văn Chiến,Trần Thị Khuyết</t>
  </si>
  <si>
    <t>Lê Văn Dự,Nguyễn Thị Tỉn- thương</t>
  </si>
  <si>
    <t>3T-146/2,44/3</t>
  </si>
  <si>
    <t>Lê Văn Giảng,Nguyễn Thị Suất</t>
  </si>
  <si>
    <t>3T-61/2,230/3</t>
  </si>
  <si>
    <t>Lê Văn Hạnh,Đặng Thị Thơm</t>
  </si>
  <si>
    <t>3T-548/3,648/3</t>
  </si>
  <si>
    <t>Lê Văn Luật,Nguyễn Thị Vượt</t>
  </si>
  <si>
    <t>3T-150/2,234/3</t>
  </si>
  <si>
    <t>Lê Văn Mười,Nguyễn Thị Bưởi</t>
  </si>
  <si>
    <t>Lê Văn Quân,Đặng Thị Ngoãn</t>
  </si>
  <si>
    <t>3T-28/3,621/3</t>
  </si>
  <si>
    <t>Lê Văn Tá</t>
  </si>
  <si>
    <t>Lê Văn Thía,Lê Thị May</t>
  </si>
  <si>
    <t>3T-45/3,605/3</t>
  </si>
  <si>
    <t>Lê Văn Viết,Nguyễn Thị Thu</t>
  </si>
  <si>
    <t>3T-33/3,615/3</t>
  </si>
  <si>
    <t>Lê Văn suy,Lê Thị Thái</t>
  </si>
  <si>
    <t>3T-249/3,587/3</t>
  </si>
  <si>
    <t>Nguyễn Như In,Phạm Thị Khiếu</t>
  </si>
  <si>
    <t>4T-26/3,623/3,31/12</t>
  </si>
  <si>
    <t>Nguyễn Thị Bân</t>
  </si>
  <si>
    <t>3T-617/3</t>
  </si>
  <si>
    <t>Nguyễn Thị Cõn( THẠCH)</t>
  </si>
  <si>
    <t>Nguyễn Thị Dần</t>
  </si>
  <si>
    <t>3T-248/3,586/3</t>
  </si>
  <si>
    <t>Nguyễn Thị Đào</t>
  </si>
  <si>
    <t>Nguyễn Thị Dào- DƯỢC</t>
  </si>
  <si>
    <t>Nguyễn Thị He</t>
  </si>
  <si>
    <t>3T-46/3,604/3</t>
  </si>
  <si>
    <t>Nguyễn Thị Kết</t>
  </si>
  <si>
    <t>Nguyễn Thị Loan- dũng</t>
  </si>
  <si>
    <t>Nguyễn Thị Lực,Nguyễn Văn Dâng</t>
  </si>
  <si>
    <t>Nguyễn Thị Lương</t>
  </si>
  <si>
    <t>3T-162/2,505/3</t>
  </si>
  <si>
    <t>Nguyễn Thị Mai</t>
  </si>
  <si>
    <t>3T-546/3,650/3</t>
  </si>
  <si>
    <t>Nguyễn Thị Mỉnh</t>
  </si>
  <si>
    <t>3T-549/3,647/3</t>
  </si>
  <si>
    <t>Nguyễn Thị Ngà</t>
  </si>
  <si>
    <t>Nguyễn Thị Rỡ</t>
  </si>
  <si>
    <t>Nguyễn Thị Sỉu</t>
  </si>
  <si>
    <t>Nguyễn Thị Tâm,Nguyễn Ngọc Cung+ phương</t>
  </si>
  <si>
    <t>Nguyễn Thị Thái</t>
  </si>
  <si>
    <t>1T</t>
  </si>
  <si>
    <t>Nguyễn Thị Thao</t>
  </si>
  <si>
    <t>Nguyễn Thị Thụ</t>
  </si>
  <si>
    <t>Nguyễn Thị Thuần,Nguyễn Văn Hà</t>
  </si>
  <si>
    <t>Nguyễn Thị Vi</t>
  </si>
  <si>
    <t>BỎ</t>
  </si>
  <si>
    <t>Nguyễn Thị Viền</t>
  </si>
  <si>
    <t>Nguyễn Thị Vui</t>
  </si>
  <si>
    <t>Nguyễn Tiến Thẩm,Lê Thị ấn</t>
  </si>
  <si>
    <t>4T-65/2,39/3,610/3</t>
  </si>
  <si>
    <t>Nguyễn Văn Biện,Hoàng Thị Xâm</t>
  </si>
  <si>
    <t>3T-34/3,615/3</t>
  </si>
  <si>
    <t>Nguyễn Văn Chỉ,Lê Thị Soi</t>
  </si>
  <si>
    <t>Nguyễn Văn Chiến-XOAN</t>
  </si>
  <si>
    <t>Nguyễn Văn Chiến,Nguyễn Thị Lương</t>
  </si>
  <si>
    <t>3T-244/3,582/3</t>
  </si>
  <si>
    <t>Nguyễn Văn Chiều,Trần Thị Luyến</t>
  </si>
  <si>
    <t>3T-269/3,39/7</t>
  </si>
  <si>
    <t>Nguyễn Văn Chính,Nguyễn Thị Hà</t>
  </si>
  <si>
    <t>Nguyễn Văn Chư</t>
  </si>
  <si>
    <t>Nguyễn Văn Chuyền,Đỗ Thị Đoán</t>
  </si>
  <si>
    <t>Nguyễn Văn Đá,Lê Thị Tơ</t>
  </si>
  <si>
    <t>Nguyễn Văn Đạc,Lê Thị Quế</t>
  </si>
  <si>
    <t>Nguyễn Văn Đại,Lê Thị Lánh</t>
  </si>
  <si>
    <t>Nguyễn Văn Đan,Ngô Thị Láng</t>
  </si>
  <si>
    <t>Nguyễn Văn Đảng</t>
  </si>
  <si>
    <t xml:space="preserve">Nguyễn Văn Đệ+ tặng </t>
  </si>
  <si>
    <t>Nguyễn Văn Đính</t>
  </si>
  <si>
    <t>Nguyễn Văn Dịu,Hoàng Thị Hoà</t>
  </si>
  <si>
    <t>Nguyễn Văn Doản,Đoàn Thị Thanh</t>
  </si>
  <si>
    <t>Nguyễn Văn Doản,Nguyễn Thị Đương</t>
  </si>
  <si>
    <t>3T-554/3,642/3</t>
  </si>
  <si>
    <t>Nguyễn Văn Duẩn,Lê Thị Huyền</t>
  </si>
  <si>
    <t>Nguyễn Văn Hào</t>
  </si>
  <si>
    <t>2T-228/3</t>
  </si>
  <si>
    <t>Nguyễn Văn Hinh,Đặng Thị Miền</t>
  </si>
  <si>
    <t>Nguyễn Văn Hiu,Nguyễn Thị Hoan</t>
  </si>
  <si>
    <t>3T-253/3,591/3</t>
  </si>
  <si>
    <t>Nguyễn Văn Hô,Lê Thị Lương</t>
  </si>
  <si>
    <t>Nguyễn Văn Hoả,Văn Thị Lương</t>
  </si>
  <si>
    <t>Nguyễn Văn Hoan,Hoàng Thị ảnh</t>
  </si>
  <si>
    <t>Nguyễn Văn Hoạt, HƯNG</t>
  </si>
  <si>
    <t>Nguyễn Văn Hoạt,Lê Thị Phất</t>
  </si>
  <si>
    <t>4T</t>
  </si>
  <si>
    <t>Nguyễn Văn Huyên,Nguyễn Thị Thoa</t>
  </si>
  <si>
    <t>3T-43/3,606/3</t>
  </si>
  <si>
    <t>Nguyễn Văn Khích,Lê Thị Tiến</t>
  </si>
  <si>
    <t>Nguyễn Văn Khôi</t>
  </si>
  <si>
    <t>Nguyễn Văn Khu,Lê Thị Gấm</t>
  </si>
  <si>
    <t>3T-163/2,497/3</t>
  </si>
  <si>
    <t>Nguyễn Văn Khuyến,Lê Thị Phiệt</t>
  </si>
  <si>
    <t>Nguyễn Văn Kiểu,Nguyễn Thị Chấn</t>
  </si>
  <si>
    <t>Nguyễn Văn Lanh,Nguyễn Thị Hoà</t>
  </si>
  <si>
    <t>3T-563/3,636/3</t>
  </si>
  <si>
    <t>Nguyễn Văn Lự,Lê Thị Mạo</t>
  </si>
  <si>
    <t>Nguyễn Văn Ly,Trần Thị Vần</t>
  </si>
  <si>
    <t>Nguyễn Văn Mão,Lê Thị Hà</t>
  </si>
  <si>
    <t>Nguyễn Văn Nam,Nguyễn Thị Hảo</t>
  </si>
  <si>
    <t>Nguyễn Văn Năm,Nguyễn Thị Oanh</t>
  </si>
  <si>
    <t>Nguyễn Văn Nền,Lê Thị Thôn</t>
  </si>
  <si>
    <t>2T-59/2</t>
  </si>
  <si>
    <t>Nguyễn Văn Nên,Nguyễn Thị Miền</t>
  </si>
  <si>
    <t>4T-30/3,619/3,208/12</t>
  </si>
  <si>
    <t>Nguyễn Văn Nghi,Nguyễn Thị SIU</t>
  </si>
  <si>
    <t>3T-553/3,643/3</t>
  </si>
  <si>
    <t>Nguyễn Văn Nhất,Đặng Thị Thu</t>
  </si>
  <si>
    <t>Nguyễn Văn Nhỡ,Nguyễn Thị Gấm</t>
  </si>
  <si>
    <t>2T-625/3,</t>
  </si>
  <si>
    <t>Nguyễn Văn Phiên,Nguyễn Thị Ninh</t>
  </si>
  <si>
    <t>Nguyễn Văn Quân,Vũ Thị Thủy</t>
  </si>
  <si>
    <t>Nguyễn Văn Sao,Lê Thị Kiển</t>
  </si>
  <si>
    <t>Nguyễn Văn Soạn,Lê Thị Là</t>
  </si>
  <si>
    <t>3T-40/3,609/3</t>
  </si>
  <si>
    <t>Nguyễn Văn Thạc,Đặng Thị Phương</t>
  </si>
  <si>
    <t>Nguyễn Văn Thận</t>
  </si>
  <si>
    <t>Đặng Đình Thống, Lê Thị Thơ</t>
  </si>
  <si>
    <t>3T-59/2,569/3</t>
  </si>
  <si>
    <t>Nguyễn Văn Thắng,Ngô Thị Vụ</t>
  </si>
  <si>
    <t>3T-29/3,620/3</t>
  </si>
  <si>
    <t>Nguyễn Văn Thành,Nguyễn Thị Hải</t>
  </si>
  <si>
    <t>3T-547/3,649/3</t>
  </si>
  <si>
    <t>Nguyễn Văn Thạo,Đỗ Thị Thể</t>
  </si>
  <si>
    <t>2T-148/2</t>
  </si>
  <si>
    <t>Nguyễn Văn Thạo,Hoàng Thị Tô</t>
  </si>
  <si>
    <t>3T-62/2,231/3</t>
  </si>
  <si>
    <t>Nguyễn Văn Thể,Nguyễn Thị Thoa</t>
  </si>
  <si>
    <t>Nguyễn Văn Thiệp,Đặng Thị Bình</t>
  </si>
  <si>
    <t>Nguyễn Văn Thổ,Văn Thị Thanh</t>
  </si>
  <si>
    <t>Nguyễn Văn Thoát</t>
  </si>
  <si>
    <t>Nguyễn Văn Thơi,Lê Thị Bàng</t>
  </si>
  <si>
    <t>Nguyễn Văn Thông</t>
  </si>
  <si>
    <t>Nguyễn Văn Thúy,Nguyễn Thị Hồng</t>
  </si>
  <si>
    <t>2T-,627/3</t>
  </si>
  <si>
    <t>Nguyễn Văn Tịu,Nguyễn Thị Sáo</t>
  </si>
  <si>
    <t>Nguyễn Văn Triền,Nguyễn Thị Mài</t>
  </si>
  <si>
    <t>3T-240/3,579/3</t>
  </si>
  <si>
    <t>Nguyễn Văn Trực,Nguyễn Thị Hạnh</t>
  </si>
  <si>
    <t>3T-24/3,623/3,</t>
  </si>
  <si>
    <t>Nguyễn Văn Túy,Phạm Thị Vân+ thuỵ + Dưỡng</t>
  </si>
  <si>
    <t>3T-294/3,97/7</t>
  </si>
  <si>
    <t>Nguyễn Văn Tuyển</t>
  </si>
  <si>
    <t>Nguyễn Văn Viêm- ĐỐI + ĐOẢN</t>
  </si>
  <si>
    <t>3T-577/3,239/3</t>
  </si>
  <si>
    <t>Nguyễn Văn Xiêng,Nguyễn Thị Tươi</t>
  </si>
  <si>
    <t>Nguyễn Văn Yến,Đỗ Thị Lan</t>
  </si>
  <si>
    <t>3T-25/3,624/3</t>
  </si>
  <si>
    <t>Nguyễn Xuân Đài,Đặng Thị Lờ</t>
  </si>
  <si>
    <t>3T-154/2,559/3</t>
  </si>
  <si>
    <t>Nguyễn Xuân Đông,Nguyễn Thị Xuân</t>
  </si>
  <si>
    <t>Nguyễn Xuân Hào,Nguyễn Thị Khiếu</t>
  </si>
  <si>
    <t>2T-629/3,</t>
  </si>
  <si>
    <t>Phạm Đức Hành,Lê Thị Chiến</t>
  </si>
  <si>
    <t>Phạm Đức Kừu,Nguyễn Thị Thơm</t>
  </si>
  <si>
    <t>Phạm Đức Lưu,Nguyễn Thị Nhớn</t>
  </si>
  <si>
    <t>Phạm Đức Lý</t>
  </si>
  <si>
    <t>Phạm Thị Kịch,Nguyễn Văn Vở</t>
  </si>
  <si>
    <t>Phạm Thị Thoát,Lê Văn Thự</t>
  </si>
  <si>
    <t>3T-47/3,603/3</t>
  </si>
  <si>
    <t>Phạm Thị Vẻ</t>
  </si>
  <si>
    <t>Phạm Văn Thắng,Lê Thị Khuyến</t>
  </si>
  <si>
    <t>Sân Vận Động Thôn Kiến Châu</t>
  </si>
  <si>
    <t>Trần Đình Văn,Đặng Thị Xiển</t>
  </si>
  <si>
    <t>Trần Quang Năng,Nguyễn Thị Thủy</t>
  </si>
  <si>
    <t>Trần Quốc Khánh,Vũ Thị Thoa</t>
  </si>
  <si>
    <t>Trần Thanh Dung,Nguyễn Thị Thơ</t>
  </si>
  <si>
    <t>LNK</t>
  </si>
  <si>
    <t>Trần Thị Đảo,Trần Quang Chắm</t>
  </si>
  <si>
    <t>Trần Thị Hiền</t>
  </si>
  <si>
    <t>Trần Thị Khoai</t>
  </si>
  <si>
    <t>Trần Thị Mai</t>
  </si>
  <si>
    <t>Trần Thị Thảo</t>
  </si>
  <si>
    <t>2T - 237/2</t>
  </si>
  <si>
    <t>Trần Văn Căn,Trần Thị Miễn</t>
  </si>
  <si>
    <t>Trần Văn Chép,Trần Thị Dùng</t>
  </si>
  <si>
    <t>Trần Văn Hơn,Lê Thị Cờ</t>
  </si>
  <si>
    <t>Trần Văn Kế,Nguyễn Thị Duyến</t>
  </si>
  <si>
    <t>Trần Văn Quyết,Lê Thị Thoán</t>
  </si>
  <si>
    <t>Trần Văn Tăng,Đặng Thị Nhùng</t>
  </si>
  <si>
    <t>3T-50/3,600/3</t>
  </si>
  <si>
    <t>Trần Văn Thắng- SƠN</t>
  </si>
  <si>
    <t>Trịnh Thị Bính</t>
  </si>
  <si>
    <t>Trịnh Thị Mão</t>
  </si>
  <si>
    <t>Trịnh Thị Muốn</t>
  </si>
  <si>
    <t>Trịnh Trọng Đồng,Ngô Thị Nghĩa</t>
  </si>
  <si>
    <t>Trịnh Trung Chữ,Đỗ Thị Hoản</t>
  </si>
  <si>
    <t>Trịnh Văn Chiến,Lê Thị Như</t>
  </si>
  <si>
    <t>2T-25/7</t>
  </si>
  <si>
    <t>Trịnh Văn Đắc,Phạm Thị Hằng</t>
  </si>
  <si>
    <t>Trịnh Văn Diễm,Đặng Thị Thiết</t>
  </si>
  <si>
    <t>Trịnh Văn Hoả,Phạm Thị Mây</t>
  </si>
  <si>
    <t>Trịnh Văn Mùi,Hoàng Thị Nhạn</t>
  </si>
  <si>
    <t>Trịnh Văn Nghĩa,Nguyễn Thị Thắm</t>
  </si>
  <si>
    <t>Trịnh Văn Thụy,Nguyễn Thị Nghĩa</t>
  </si>
  <si>
    <t>Trịnh Văn Tứ,Nguyễn Thị Định</t>
  </si>
  <si>
    <t>Trịnh Văn úc,Đặng Thị Chuật (bảy+ tám)</t>
  </si>
  <si>
    <t>Trịnh Văn úc,Đặng Thị Chuật</t>
  </si>
  <si>
    <t>Trịnh Xuân Chu,Đặng Thị Thoa</t>
  </si>
  <si>
    <t>Trịnh Xuân Thủy,Lê Thị Dân</t>
  </si>
  <si>
    <t>Trương Thị Thảo</t>
  </si>
  <si>
    <t>Vũ Thị Thục</t>
  </si>
  <si>
    <t>Vũ Văn Luận,Nguyễn  Thị Thắng</t>
  </si>
  <si>
    <t>3T-246/3,584/3</t>
  </si>
  <si>
    <t>Nguyễn Văn Khơi,Hoàng Thị Thu</t>
  </si>
  <si>
    <t>Trịnh Văn Vị</t>
  </si>
  <si>
    <t>Thông tin thửa đất thu hồi</t>
  </si>
  <si>
    <t>Tỷ lệ % thu hồi</t>
  </si>
  <si>
    <t>Số tháng hỗ trợ</t>
  </si>
  <si>
    <t>Kinh phí bồi thường, hỗ trợ đối với phần diện tích thu hồi</t>
  </si>
  <si>
    <t>Kinh phí bồi thường, hỗ trợ đối với cây trồng, hoa màu, công trình, vật kiến trúc bị ảnh hưởng</t>
  </si>
  <si>
    <t>Tổng kinh phí (đồng)</t>
  </si>
  <si>
    <t>Theo thông báo thu hồi đất</t>
  </si>
  <si>
    <t>Theo BBXD nguồn gốc đất</t>
  </si>
  <si>
    <t>Tổng diện tích đất thu hồi (m2)</t>
  </si>
  <si>
    <t>Đơn giá (đ/m2)</t>
  </si>
  <si>
    <t>Kinh phí bồi thường về đất (đồng)</t>
  </si>
  <si>
    <t>Kinh phí hỗ trợ chuyển đổi nghề (3x80.000)</t>
  </si>
  <si>
    <t>Kinh phí hỗ trợ ổn đời sống (17.000đ/1kg)</t>
  </si>
  <si>
    <t>Tổng kinh phí bồi thường, hỗ trợ về đất</t>
  </si>
  <si>
    <t>Thành tiền (đồng)</t>
  </si>
  <si>
    <t>Tổng kinh phí bồi thường, hỗ trợ cây trồng, hoa màu, công trình (đồng)</t>
  </si>
  <si>
    <t>27=26+18</t>
  </si>
  <si>
    <t>đồng/khóm</t>
  </si>
  <si>
    <t>TSN</t>
  </si>
  <si>
    <t>Cây trồng chính vượt mật độ</t>
  </si>
  <si>
    <t>Giếng</t>
  </si>
  <si>
    <t>đồng/m</t>
  </si>
  <si>
    <t>Mật độ theo quy định
(cây/m2)</t>
  </si>
  <si>
    <t>XÓM 12</t>
  </si>
  <si>
    <t>- Trong mật độ</t>
  </si>
  <si>
    <t>2. Cây bưởi ĐK gốc 8cm ≤ ĐK &lt;12cm (cây trồng chính)</t>
  </si>
  <si>
    <t>- Vượt mật độ ≤ 30%</t>
  </si>
  <si>
    <t>- Vượt mật độ &gt; 30%</t>
  </si>
  <si>
    <t>5. Giếng khoan</t>
  </si>
  <si>
    <t>Cây trồng chính thiếu mật độ</t>
  </si>
  <si>
    <t>8. Giếng khoan</t>
  </si>
  <si>
    <t>1. Nhãn giống</t>
  </si>
  <si>
    <t>cây chính vượt mật độ</t>
  </si>
  <si>
    <t>2. Khóm chuối có cây có buồng quả (cây trồng chính)</t>
  </si>
  <si>
    <t>2. Cây nhãn ĐK gốc 20cm ≤ ĐK ≤ 30cm (cây trồng chính)</t>
  </si>
  <si>
    <t>1. Cây nhãn ĐK gốc &gt; 30cm (cây trồng chính)</t>
  </si>
  <si>
    <t>2. Tường rào xây gạch bổ trụ 220, tường xây 110, trát vữa XM, quét vôi ve, cao ≤ 2,5m</t>
  </si>
  <si>
    <t>3. Bể nước đáy đổ BTCT, thành bể xây gạch, không nắp đậy BTCT</t>
  </si>
  <si>
    <t>4. Giếng khoan</t>
  </si>
  <si>
    <t>5. Tường rào xây gạch bổ trụ 220, tường xây 110, trát vữa XM, quét vôi ve, cao ≤ 2,5m</t>
  </si>
  <si>
    <t>6. Tường rào xây gạch bổ trụ 220, tường xây 110, trát vữa XM, quét vôi ve, cao ≤ 2,5m</t>
  </si>
  <si>
    <t>7. Giếng khoan</t>
  </si>
  <si>
    <t>- Vượt mật độ</t>
  </si>
  <si>
    <t>1. Cá rô đồng (Từ khi thả đến dưới 2 tháng)</t>
  </si>
  <si>
    <t>chuyên canh</t>
  </si>
  <si>
    <t>2. Cây nhãn ĐK gốc &gt; 30cm (cây trồng chính)</t>
  </si>
  <si>
    <t>3. Cột BTCT, trát vữa XM, quét vôi ve</t>
  </si>
  <si>
    <t>2. Cột BTCT, trát vữa XM, quét vôi ve</t>
  </si>
  <si>
    <t>2. Giếng khoan</t>
  </si>
  <si>
    <t>3. Sân bê tông</t>
  </si>
  <si>
    <t>4. Tường rào xây gạch bổ trụ 220, tường xây 110, trát vữa XM, quét vôi ve, cao ≤ 2,5m</t>
  </si>
  <si>
    <t>6. Cổng thép mặt bưng tôn, khung thép hộp, lan sắt vuông 10x10</t>
  </si>
  <si>
    <t>2. Cây bưởi ĐK gốc 12cm ≤ ĐK ≤ 20cm (cây trồng chính)</t>
  </si>
  <si>
    <t>6. Giếng khoan</t>
  </si>
  <si>
    <t>2. Khóm chuối có cây có buồng quả (cây trồng xen)</t>
  </si>
  <si>
    <t>3. Khóm chuối không có buồng (cây trồng xen)</t>
  </si>
  <si>
    <t>Cây chính vượt mật độ</t>
  </si>
  <si>
    <t>1. Hoa lily</t>
  </si>
  <si>
    <t>Số cây cho phép theo mật độ</t>
  </si>
  <si>
    <t>Họ và tên</t>
  </si>
  <si>
    <t>XÓM 13</t>
  </si>
  <si>
    <t>TỔNG</t>
  </si>
  <si>
    <t>Tổng DT đất nông nghiệp đang sử dụng (m2)</t>
  </si>
  <si>
    <t>Diện tích đất công ích của xã (m2)</t>
  </si>
  <si>
    <t>Diện tích tiêu chuẩn tại thửa (m2)</t>
  </si>
  <si>
    <t xml:space="preserve"> Diện Tích theo TBTH (m2)</t>
  </si>
  <si>
    <r>
      <t>đồng/m</t>
    </r>
    <r>
      <rPr>
        <vertAlign val="superscript"/>
        <sz val="12"/>
        <rFont val="Times New Roman"/>
        <family val="1"/>
      </rPr>
      <t>3</t>
    </r>
  </si>
  <si>
    <t>2. Cây bưởi ĐK gốc 12cm ≤ ĐK  ≤ 20cm (cây trồng xen)</t>
  </si>
  <si>
    <r>
      <t xml:space="preserve">(DỰ THẢO) 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Thông báo số:          /TB-TTPTQĐ 01 ngày            /3/2026 của Trung tâm Phát triển quỹ đất số 01)</t>
    </r>
  </si>
  <si>
    <t>Đỗ Đắc Hòa</t>
  </si>
  <si>
    <t>Đỗ Khắc Vỵ</t>
  </si>
  <si>
    <t>2. Kè bờ ao xây gạch 220</t>
  </si>
  <si>
    <t>Đỗ Đắc Kim (Đỗ Văn Tư thầu đất)</t>
  </si>
  <si>
    <t>3. Cổng thép mặt bưng tôn, khung thép hộp, lan sắt vuông 10x10</t>
  </si>
  <si>
    <t>4. Mái đua lợp fibrôximăng, tường xây gạch 110, nền lót vữa XM, độ thấp nhất của mái gianh trung bình bằng 3m, tường trát và quét vôi ve</t>
  </si>
  <si>
    <t>Trần Thị Hảo, Lê Văn Chuyên</t>
  </si>
  <si>
    <t>Vũ Thị Cỏn(Chết), Trần Thị Thơm</t>
  </si>
  <si>
    <t>4. Bể nước đáy đổ BTCT, thành bể xây gạch, không nắp đậy BTCT</t>
  </si>
  <si>
    <t>7. Trụ xây gạch, trát vữa XM, quét vôi ve</t>
  </si>
  <si>
    <t>Đỗ Thị Diện</t>
  </si>
  <si>
    <t>1. Cây nhãn gốc 12cm ≤ ĐK &lt; 20cm (cây trồng chính)</t>
  </si>
  <si>
    <t>Đỗ Văn Tài</t>
  </si>
  <si>
    <t>3. Cây nhãn gốc 12cm ≤ ĐK &lt; 20cm (cây trồng xen)</t>
  </si>
  <si>
    <t>5. Khóm chuối có cây có buồng quả (cây trồng xen)</t>
  </si>
  <si>
    <t>6. Khóm chuối không có buồng (cây trồng xen)</t>
  </si>
  <si>
    <t>Đỗ Như Lê, Đỗ Thị Thúy</t>
  </si>
  <si>
    <t>4. Xen canh địa liền</t>
  </si>
  <si>
    <t>7. Cột BTCT, trát vữa XM, quét vôi ve</t>
  </si>
  <si>
    <t>- trong mật độ</t>
  </si>
  <si>
    <t>3. Cây mít ĐK gốc 15cm &lt; ĐK  ≤ 25cm (cây trồng xen)</t>
  </si>
  <si>
    <t>5. Cổng thép mặt bưng tôn, khung thép hộp, lan sắt vuông 10x10</t>
  </si>
  <si>
    <t>8. Lưới B40 không có khung thép</t>
  </si>
  <si>
    <t>9. Sân bê tông</t>
  </si>
  <si>
    <t>10. Nhà 1 tầng bán kiên cố, tường chịu lực xây gạch 110, nền lót vữa XM, trát tường và quét vôi ve. Mái lợp tôn cao 3.4-3.5m</t>
  </si>
  <si>
    <t>11. Tường rào xây gạch bổ trụ 220, tường xây 110, trát vữa XM, quét vôi ve, cao ≤ 2,5m</t>
  </si>
  <si>
    <t>12. Giếng khoan</t>
  </si>
  <si>
    <t>Vũ Đình Giang, Đỗ Thị Nga</t>
  </si>
  <si>
    <t>3. Bể nước đáy đổ BTCT, thành bể xây gạch, có nắp đậy BTCT</t>
  </si>
  <si>
    <t>3. Giếng khoan</t>
  </si>
  <si>
    <t>Đỗ Bá Lung, Đỗ Thị Dung</t>
  </si>
  <si>
    <t>2. Xen canh địa liền</t>
  </si>
  <si>
    <t>4. Cột BTCT, trát vữa XM, quét vôi ve</t>
  </si>
  <si>
    <t>5. Lưới B40 không có khung thép</t>
  </si>
  <si>
    <t>thu hồi còn 30,9 m2</t>
  </si>
  <si>
    <t>thu hồi còn 36,4 m2</t>
  </si>
  <si>
    <t>1. Cây cau ăn quả ĐK gốc 15cm ≤ ĐK &lt;20cm (cây trồng chính)</t>
  </si>
  <si>
    <t>1. Cây bưởi ĐK gốc 12cm ≤ ĐK  ≤ 20cm (cây trồng chính)</t>
  </si>
  <si>
    <t>thu hồi còn 31,4 m2</t>
  </si>
  <si>
    <t>2. Cây bưởi ĐK gốc 12cm ≤ ĐK &lt;20cm (cây trồng xen)</t>
  </si>
  <si>
    <t>3. Rãnh thoát nước xây gạch 110, có nắp đậy BTCT, rộng B ≤300</t>
  </si>
  <si>
    <t>6. Rãnh thoát nước xây gạch 110, có nắp đậy BTCT, rộng B ≤300</t>
  </si>
  <si>
    <t>4. Lán lợp mái fibroximang</t>
  </si>
  <si>
    <t>3. Cây bưởi ĐK gốc 8cm ≤ ĐK &lt;12cm (cây trồng chính)</t>
  </si>
  <si>
    <t>4. Cây cau ăn quả ĐK gốc từ 6cm ≤ Φ &lt;9cm (cây trồng xen)</t>
  </si>
  <si>
    <t>3. Khóm chuối không có buồng (cây trồng chính)</t>
  </si>
  <si>
    <t>3. Cây đu đủ ĐK gốc 8cm &lt; ĐK ≤ 15cm (cây trồng xen)</t>
  </si>
  <si>
    <t>1. Nuôi cá rô đồng từ khi thả đến dưới 2 tháng</t>
  </si>
  <si>
    <t xml:space="preserve">Cây trồng chính vượt mật độ
</t>
  </si>
  <si>
    <t>2. Cây nhãn ĐK gốc từ 30 cm trở lên (cây trồng chính)</t>
  </si>
  <si>
    <t xml:space="preserve">3. Cây bưởi ĐK gốc 12cm ≤ Φ &lt;20cm (cây trồng xen) </t>
  </si>
  <si>
    <t>5. Kè bờ ao tường 220 (60.6*2*0.2)</t>
  </si>
  <si>
    <t>1. Cây nhãn ĐK gốc từ 30 cm trở lên (cây trồng chính)</t>
  </si>
  <si>
    <t xml:space="preserve">Cây trồng chuyên canh
</t>
  </si>
  <si>
    <t>2. Xen canh cây gừng</t>
  </si>
  <si>
    <t>3. Tường xây 110 (39*0.5)</t>
  </si>
  <si>
    <t>4. Cột bê tông (10*0.1*0.1*2)</t>
  </si>
  <si>
    <r>
      <t>m</t>
    </r>
    <r>
      <rPr>
        <vertAlign val="superscript"/>
        <sz val="13"/>
        <rFont val="Times New Roman"/>
        <family val="1"/>
      </rPr>
      <t>3</t>
    </r>
  </si>
  <si>
    <t>5. Lưới B40 không có khung thép  (39*0.5)</t>
  </si>
  <si>
    <t>Đỗ Khắc Nghiệp</t>
  </si>
  <si>
    <t>1. Cây nhãn 12cm ≤ Đk gốc &lt;20cm (cây trồng chính)</t>
  </si>
  <si>
    <t xml:space="preserve">Cây trồng chính đủ mật độ
</t>
  </si>
  <si>
    <t>2. Cây bưởi ĐK gốc 8cm ≤ Φ &lt;12cm (cây trồng xen)</t>
  </si>
  <si>
    <t>3. Cây đu đủ 4cm &lt; Đk gốc≤8cm  (cây trồng xen)</t>
  </si>
  <si>
    <t>4. Xen canh rau gia vị</t>
  </si>
  <si>
    <t>5. Tường rào xây gạch  110</t>
  </si>
  <si>
    <t>90*0.4</t>
  </si>
  <si>
    <t>6. Cột bê tông (23*0.1*0.1*2)</t>
  </si>
  <si>
    <t>Đỗ Thị Tuyến 
(con gái Ô Dân)</t>
  </si>
  <si>
    <t xml:space="preserve"> 3. Cây quất ĐK gốc 2cm ≤ Φ &lt;7m (cây trồng xen)</t>
  </si>
  <si>
    <t>4. Cây hồng xiêm 7cm ≤ Đk gốc &lt;12cm</t>
  </si>
  <si>
    <t>5. Kè bờ ao tường 220 (14*2*0.2)</t>
  </si>
  <si>
    <t>Đỗ Khắc Dân, Nguyễn Thị Kim</t>
  </si>
  <si>
    <t>3. Cây bưởi ĐK gốc 12cm ≤ Φ &lt;20cm (cây trồng xen)</t>
  </si>
  <si>
    <t>4. Cây quất ĐK gốc 2cm ≤ Φ &lt;7m (cây trồng xen)</t>
  </si>
  <si>
    <t>6. Nhà kho mái lợp ngói (3.2*3*3)</t>
  </si>
  <si>
    <t>7. Lán không tường lợp bloximang (2*3*3)</t>
  </si>
  <si>
    <t>8. Rãnh thoát nước xây gạch 110, có nắp đậy BTCT, rộng B ≤300</t>
  </si>
  <si>
    <t>m</t>
  </si>
  <si>
    <t>0.7*48</t>
  </si>
  <si>
    <t>9. Kè bờ ao tường 220 (60*2*0.2)</t>
  </si>
  <si>
    <t>10. Giếng khoan</t>
  </si>
  <si>
    <t>11. Cột bê tông (20*0.1*0.1*2)</t>
  </si>
  <si>
    <t>2. Cây bưởi ĐK gốc 12cm ≤ Φ &lt;20cm (cây trồng chính)</t>
  </si>
  <si>
    <t>4. Kè bờ ao tường 220 (14*2*0.2)</t>
  </si>
  <si>
    <t>Đỗ Khắc Quân, Đỗ Thị Thịnh 
(con Ông Dân)</t>
  </si>
  <si>
    <t>1.Cây bưởi ĐK gốc &gt;20cm (cây trồng chính)</t>
  </si>
  <si>
    <t xml:space="preserve">3.Xen canh Địa liền </t>
  </si>
  <si>
    <t>4. Rãnh thoát nước xây gạch 110, có nắp đậy BTCT, rộng B ≤300</t>
  </si>
  <si>
    <t xml:space="preserve">5. Tường xây 110 </t>
  </si>
  <si>
    <t>0.5*43</t>
  </si>
  <si>
    <t>6. Mái vẩy không tường lợp bloximang, cao&lt;3m (2*3)</t>
  </si>
  <si>
    <t>7. Cột bê tông (42*0.1*0.1*2)</t>
  </si>
  <si>
    <t>8. Cột điện (0.15*0.15*5*2 cot</t>
  </si>
  <si>
    <t>9. Hàng rào dây thép B40 có khung</t>
  </si>
  <si>
    <t>43*0.5</t>
  </si>
  <si>
    <t>10. Cánh cổng</t>
  </si>
  <si>
    <t>1.5*2</t>
  </si>
  <si>
    <t>11. Giếng khoan</t>
  </si>
  <si>
    <t>Đỗ Thị Thơm, Nguyễn Đức Bình</t>
  </si>
  <si>
    <t>2.Cây bưởi ĐK gốc 12cm ≤ Φ &lt;20cm (cây trồng chính)</t>
  </si>
  <si>
    <t>3. Cây mít ĐK 8cm &lt;Đk gốc ≤ 15cm (cây trồng xen)</t>
  </si>
  <si>
    <t xml:space="preserve">4. Xen canh Địa liền </t>
  </si>
  <si>
    <t>5. Bể nước đáy đổ BTCT, thành bể xây gạch, không nắp đậy BTCT (1*2*1)</t>
  </si>
  <si>
    <t>7. Tường xây 110 (156*1)</t>
  </si>
  <si>
    <t>8. Lưới B40 không có khung thép (156*1)</t>
  </si>
  <si>
    <t>9. Cột bê tông (40*0.1*0.1*2)</t>
  </si>
  <si>
    <t>12. Cánh cổng</t>
  </si>
  <si>
    <t>1*2*2 cánh</t>
  </si>
  <si>
    <t>2. Cây bưởi ĐK gốc 12cm ≤ Φ &lt;20cm (cây trồng xen)</t>
  </si>
  <si>
    <t>3. Cây hồng xiêm 7cm ≤ Đk gốc &lt;12cm (cây trồng xen)</t>
  </si>
  <si>
    <t>4. Xen canh gừng</t>
  </si>
  <si>
    <t>5. Rãnh thoát nước xây gạch 110, có nắp đậy BTCT, rộng B ≤300</t>
  </si>
  <si>
    <t xml:space="preserve">6. Tường xây 110 </t>
  </si>
  <si>
    <t>0.8*82</t>
  </si>
  <si>
    <t>7. Cột bê tông (70*0.1*0.1*2)</t>
  </si>
  <si>
    <t>9. Bể nước đáy đổ BTCT, thành bể xây gạch, không nắp đậy BTCT (1.7*2.15*1.1)</t>
  </si>
  <si>
    <t>10. Hàng rào dây thép B40 có khung</t>
  </si>
  <si>
    <t>82*0.5</t>
  </si>
  <si>
    <t>Đình Thị Loan</t>
  </si>
  <si>
    <t>1. Khóm chuối có cây có buồng quả</t>
  </si>
  <si>
    <t>2.Giếng khoan</t>
  </si>
  <si>
    <t>Nguyễn Khắc Long,Đỗ Thị Tỉnh</t>
  </si>
  <si>
    <t xml:space="preserve">Cây trồng chính thiếu mật độ
</t>
  </si>
  <si>
    <t>2. Cây nhãn 20cm ≤ Đk gốc  ≤ 30cm (cây trồng chính)</t>
  </si>
  <si>
    <t>3. Cây bưởi ĐK gốc 12cm ≤ Φ  ≤ 20cm (cây trồng xen)</t>
  </si>
  <si>
    <t>4. Cây bưởi ĐK gốc 8cm ≤ Φ &lt;12cm (cây trồng xen)</t>
  </si>
  <si>
    <t>5. Cây hồng xiêm 7cm ≤ Đk gốc &lt;12cm (cây trồng xen)</t>
  </si>
  <si>
    <t>6. Cây mít 15cm &lt; Đk gốc ≤ 25m (cây trồng xen)</t>
  </si>
  <si>
    <t>7. Khóm chuối có cây có buồng quả (cây trồng xen)</t>
  </si>
  <si>
    <t>8. Khóm chuối không có buồng quả (cây trồng xen)</t>
  </si>
  <si>
    <t>9. Nhà kho mái tôn tường 110, nền ximang (12*7)</t>
  </si>
  <si>
    <t>10 Lán mái tôn tường 110, nền ximang (6*3*3)</t>
  </si>
  <si>
    <t>11. Mái đua, mái vẩy lợp tôn (6*3*3)</t>
  </si>
  <si>
    <t>12. Sân bê tông dày 100, mác 200 (1.7*70+11*3)</t>
  </si>
  <si>
    <t>13. Bể nước đáy đổ BTCT, thành bể xây gạch, có bể lọc (1.2*2*2.5)</t>
  </si>
  <si>
    <t>14. Bể nước đáy đổ BTCT, thành bể xây gạch, có nắp đậy BTCT</t>
  </si>
  <si>
    <t>15. Cột bê tông (80*0.1*0.1*2)</t>
  </si>
  <si>
    <t xml:space="preserve">16. Tường xây 110 </t>
  </si>
  <si>
    <t>17. Lưới B40 không có khung thép</t>
  </si>
  <si>
    <t>18. Trụ xây gạch, trát vữa XM, quét vôi ve</t>
  </si>
  <si>
    <t>19. Cánh cổng</t>
  </si>
  <si>
    <t>20. Giếng khoan</t>
  </si>
  <si>
    <t>Đỗ Chí Huy, Đỗ Thị Thức</t>
  </si>
  <si>
    <t>Đỗ Thị Tuyết</t>
  </si>
  <si>
    <t>1.Cây nhãn ĐK gốc từ 30 cm trở lên (cây trồng chính)</t>
  </si>
  <si>
    <t>Cây chính thiếu mật độ</t>
  </si>
  <si>
    <t>2. Cây nhãn 20cm ≤ ĐK gốc ≤ 30cm (cây trồng chính)</t>
  </si>
  <si>
    <t xml:space="preserve">- Vượt mật độ </t>
  </si>
  <si>
    <t>2. Tường rào xây gạch  110 (0.5*79.04)</t>
  </si>
  <si>
    <t>3. Cột bê tông (15*0.1*0.1*2)</t>
  </si>
  <si>
    <t>4. Lưới B40 không có khung thép (0.5*79.04)</t>
  </si>
  <si>
    <t>Đỗ Chí Hiệu, Đỗ Thị Tuyến</t>
  </si>
  <si>
    <t>Đỗ Khắc Minh (con ô Xương)</t>
  </si>
  <si>
    <t>Đỗ Khắc Mười (chết)
 (con ô Xương)</t>
  </si>
  <si>
    <t>1. Cây nhãn ĐK gốc &gt;30 cm (cây trồng chính)</t>
  </si>
  <si>
    <t>Đỗ Khắc Vỹ,Đỗ Thị Linh 
 (con ô Xương)</t>
  </si>
  <si>
    <t xml:space="preserve">Đỗ Khắc Thắm, Đỗ Thị Thúy
</t>
  </si>
  <si>
    <t>2. Cây bưởi ĐK gốc từ 20 cm trở lên (cây trồng xen)</t>
  </si>
  <si>
    <t>3.Cây cau ĐK gốc 15cm ≤ Φ &lt;20cm</t>
  </si>
  <si>
    <t>4. Xen canh lá dong</t>
  </si>
  <si>
    <t>5. Nhà kho mái tôn tường 110, nền ximang (3*5cao3m))</t>
  </si>
  <si>
    <t>6. Sân bê tông dày 100, mác 200 (3*5)</t>
  </si>
  <si>
    <t>7. Tường rào  xây gạch  110 (0.5*190)</t>
  </si>
  <si>
    <t>8. Cổng thép mặt bưng tôn, khung thép hộp, lan sắt vuông 10x10 (1.5*2*2canh)</t>
  </si>
  <si>
    <t>9. Cột bê tông (90*0.1*0.1*2)</t>
  </si>
  <si>
    <t xml:space="preserve">Nguyễn Hữu Ái </t>
  </si>
  <si>
    <t>1. Cây nhãn ĐK gốc 20cm ≤ ĐK ≤ 30cm (cây trồng chính)</t>
  </si>
  <si>
    <t>Chuyên canh  01 loại cây trồng</t>
  </si>
  <si>
    <t>2.Cây nhãn 7cm ≤ Đk gốc &lt;12cm (cây trồng chính)</t>
  </si>
  <si>
    <t>2.Cây nhãn 12cm ≤ Đk gốc &lt;20cm (cây trồng chính)</t>
  </si>
  <si>
    <t>3.Cây nhãn 7cm ≤ Đk gốc &lt;12cm (cây trồng chính)</t>
  </si>
  <si>
    <t>Đỗ Văn Hợp, Đỗ Thị Hồng</t>
  </si>
  <si>
    <t>3.Cây táo 12cm ≤ ĐK gốc &lt;20cm (cây trồng xen)</t>
  </si>
  <si>
    <t xml:space="preserve">4. Khóm chuối có cây có buồng quả </t>
  </si>
  <si>
    <t xml:space="preserve">5. Khóm chuối không có buồng </t>
  </si>
  <si>
    <t>Đỗ Duy Sơn, Lê Thị Lan</t>
  </si>
  <si>
    <t>2. Cây nhãn 12cm ≤ Đk gốc &lt;20cm (cây trồng chính)</t>
  </si>
  <si>
    <t>4. Cây bưởi ĐK gốc 12cm ≤ ĐK ≤ 20cm (cây trồng xen)</t>
  </si>
  <si>
    <t>5.Cây bưởi ĐK gốc 8cm ≤ ĐK &lt;12cm (cây trồng xen)</t>
  </si>
  <si>
    <t>6. Cây mít Đk gốc 7cm ≤ ĐK &lt;12cm</t>
  </si>
  <si>
    <t>7. Tường rào xây gạch  110</t>
  </si>
  <si>
    <t>60*0.8</t>
  </si>
  <si>
    <t>8. Cột bê tông (54*0.1*0.1*2)</t>
  </si>
  <si>
    <t>9. Giếng khoan</t>
  </si>
  <si>
    <t xml:space="preserve">Đỗ Khắc Đường, Vũ Thị Năm </t>
  </si>
  <si>
    <t>Cây trồng chính  đủ mật độ</t>
  </si>
  <si>
    <t>3. Cây bưởi ĐK gốc 12cm ≤ ĐK ≤ 20cm (cây trồng xen)</t>
  </si>
  <si>
    <t>4. Kè bờ ao tường 220 (17.6*2*0.2)</t>
  </si>
  <si>
    <t xml:space="preserve">Đỗ Thị Nhị </t>
  </si>
  <si>
    <t>2. Cây nhãn ĐK gốc &gt; 30cm  (cây trồng chính)</t>
  </si>
  <si>
    <t>3.Cây nhãn ĐK gốc 20cm ≤ ĐK  ≤ 30cm (cây trồng chính)</t>
  </si>
  <si>
    <t>5. Kè bờ ao tường 220 (17.6*2*0.2)</t>
  </si>
  <si>
    <t>Đỗ Khắc Năng, Giang Thị Vần</t>
  </si>
  <si>
    <t>4. Kè bờ ao tường 220 (26*2*0.2)</t>
  </si>
  <si>
    <t xml:space="preserve">Đỗ Khắc Cận, Vũ Thị Ngan </t>
  </si>
  <si>
    <t>cây chính đủ mật độ</t>
  </si>
  <si>
    <t>4. Kè bờ ao tường 220 (22*2*0.2)</t>
  </si>
  <si>
    <t>Đỗ Đắc Sáng, Bá Thị Cúc</t>
  </si>
  <si>
    <t>3. Cây bưởi ĐK gốc 12cm ≤ Φ ≤20cm (cây trồng xen)</t>
  </si>
  <si>
    <t>4. Kè bờ ao tường 220 (9*2*0.2)</t>
  </si>
  <si>
    <t xml:space="preserve">Đỗ Thị Lý </t>
  </si>
  <si>
    <t>Đỗ Đắc Long, Lê Thị Hương (Đỗ Văn Tư thầu đất)</t>
  </si>
  <si>
    <t>Vũ Thị Tuyết Uyên, Đỗ Như Hà</t>
  </si>
  <si>
    <t>Đỗ Văn Công, Đỗ Thị Hiệp</t>
  </si>
  <si>
    <t>5. Xen canh hoa Náng (trinh nữ hoàng cung)</t>
  </si>
  <si>
    <t>4. Xen canh cây hoa náng (trinh nữ Hoàng Cung)</t>
  </si>
  <si>
    <t>5. Xen canh cây hoa náng (trinh nữ Hoàng Cung)</t>
  </si>
  <si>
    <t>3. Xen canh cây hoa náng (trinh nữ Hoàng Cung)</t>
  </si>
  <si>
    <t>3. Cây nhãn 7cm ≤ ĐK gốc &lt;12cm (cây trồng chính)</t>
  </si>
  <si>
    <t>1. Cây bưởi ĐK gốc 12cm ≤ ĐK &lt;20cm (cây trồng chính)</t>
  </si>
  <si>
    <t>Bùi Ngọc Phi (Ông Dân thuê đất)</t>
  </si>
  <si>
    <t>XÓM 10</t>
  </si>
  <si>
    <t>4. Tường xây 110 (100*0.8)</t>
  </si>
  <si>
    <t>Vũ Thị  Ngạn</t>
  </si>
  <si>
    <t>3. Cây nhãn ĐK gốc &gt; 30cm (cây trồng xen)</t>
  </si>
  <si>
    <t>4. Cây nhãn ĐK gốc 20cm ≤ ĐK ≤ 30cm (cây trồng xen)</t>
  </si>
  <si>
    <t>5. Cây mít 8cm &lt; ĐK ≤ 15cm (cây trồng xen)</t>
  </si>
  <si>
    <t>X12</t>
  </si>
  <si>
    <t>6. Cây hồng xiêm ĐK gốc 7cm ≤ ĐK gốc &lt;12cm (cây trồng xen)</t>
  </si>
  <si>
    <t>9. Cột bê tông</t>
  </si>
  <si>
    <t>Đỗ Như Lịch, Đỗ Thị Ban</t>
  </si>
  <si>
    <t>1. Cây bưởi ĐK gốc 12cm ≤ ĐK ≤ 20cm (cây trồng chính)</t>
  </si>
  <si>
    <t>Cây trồng chính chưa đủ mật độ</t>
  </si>
  <si>
    <t>ĐÃ đồng ý PA chờ phê duyệt</t>
  </si>
  <si>
    <t>2. Cây bưởi ĐK gốc 8cm ≤ ĐK &lt; 12cm (cây trồng chính)</t>
  </si>
  <si>
    <t>Niêm yết Đợt 1 ngày 02/3/2026</t>
  </si>
  <si>
    <t>XÓM 11</t>
  </si>
  <si>
    <t>Đỗ Văn Bạo</t>
  </si>
  <si>
    <t>Đã đồng ý</t>
  </si>
  <si>
    <t>2.Tường ao 220 (1.5*12)</t>
  </si>
  <si>
    <r>
      <t>m</t>
    </r>
    <r>
      <rPr>
        <vertAlign val="superscript"/>
        <sz val="12"/>
        <rFont val="Times New Roman"/>
        <family val="1"/>
      </rPr>
      <t>3</t>
    </r>
  </si>
  <si>
    <t>Niêm yết Đợt 2 ngày 14/3</t>
  </si>
  <si>
    <t>Ghi chú</t>
  </si>
  <si>
    <t>Đỗ Khắc Khoa, Tường Thị Quý</t>
  </si>
  <si>
    <t>chuyên canh vượt mật độ</t>
  </si>
  <si>
    <t>Đã đồng ý chờ lên PA</t>
  </si>
  <si>
    <t xml:space="preserve">7.Cây dong xen canh </t>
  </si>
  <si>
    <t>Niêm yết Đợt 2</t>
  </si>
  <si>
    <t>Sửa lại ĐK gốc cây nhãn theo BB kiểm đếm</t>
  </si>
  <si>
    <t>Sửa lại ĐK gốc cây nhãn theo BB kiểm đếm, giá tiền ko đổi</t>
  </si>
  <si>
    <t>4. Cây mít ĐK gốc 15cm &lt; ĐK ≤ 25cm (cây trồng xen)</t>
  </si>
  <si>
    <t>Áp nhầm đơn giá</t>
  </si>
  <si>
    <t>Nguyễn Khắc Long, Đỗ Thị Tỉnh</t>
  </si>
  <si>
    <t>4. Cây bưởi ĐK gốc 8cm ≤ ĐK &lt;12cm (cây trồng xen)</t>
  </si>
  <si>
    <t>5. Cây hồng xiêm ĐK gốc 7cm ≤ ĐK &lt; 12cm (cây trồng xen)</t>
  </si>
  <si>
    <t>6. Cây mít ĐK gốc 7cm ≤ ĐK &lt;12cm</t>
  </si>
  <si>
    <t>2. Cây nhãn ĐK gốc &gt; 30 cm (cây trồng chính)</t>
  </si>
  <si>
    <t xml:space="preserve">3. Cây bưởi ĐK gốc 12cm ≤ ĐK ≤ 20cm (cây trồng xen) </t>
  </si>
  <si>
    <t>1. Cây nhãn ĐK gốc &gt; 30 cm (cây trồng chính)</t>
  </si>
  <si>
    <t>1. Cây nhãn ĐK gốc 12cm ≤ ĐK &lt; 20cm (cây trồng chính)</t>
  </si>
  <si>
    <t>3. Cây bưởi ĐK gốc 12cm ≤ ĐK &lt;20cm (cây trồng xen)</t>
  </si>
  <si>
    <t>2. Cây bưởi ĐK gốc 12cm ≤ ĐK &lt;20cm (cây trồng chính)</t>
  </si>
  <si>
    <t>2.Cây bưởi ĐK gốc 12cm ≤ ĐK &lt;20cm (cây trồng chính)</t>
  </si>
  <si>
    <t>3. Cây bưởi ĐK gốc 12cm ≤ ĐK ≤20cm (cây trồng xen)</t>
  </si>
  <si>
    <t>2. Cây bưởi ĐK gốc 8cm ≤ ĐK &lt; 12cm (cây trồng xen)</t>
  </si>
  <si>
    <t>3. Cây đu đủ ĐK gốc 4cm &lt; ĐK ≤ 8cm  (cây trồng xen)</t>
  </si>
  <si>
    <t>5. Tường rào xây gạch 110</t>
  </si>
  <si>
    <t>1. Ao nuôi cá rô đồng từ khi thả đến dưới 2 tháng</t>
  </si>
  <si>
    <t>2. Cây nhãn 12cm ≤ ĐK &lt; 20cm (cây trồng chính)</t>
  </si>
  <si>
    <t xml:space="preserve"> 3. Cây quất ĐK gốc 2cm ≤ ĐK &lt; 7m (cây trồng xen)</t>
  </si>
  <si>
    <t>3. Cây bưởi ĐK gốc 12cm ≤ ĐK &lt; 20cm (cây trồng xen)</t>
  </si>
  <si>
    <t>4. Cây quất ĐK gốc 2cm ≤ ĐK &lt; 7m (cây trồng xen)</t>
  </si>
  <si>
    <t>2. Cây bưởi ĐK gốc 12cm ≤ ĐK &lt; 20cm (cây trồng chính)</t>
  </si>
  <si>
    <t>1.Cây bưởi ĐK gốc &gt; 20cm (cây trồng chính)</t>
  </si>
  <si>
    <t>6. Mái vẩy không tường lợp bloximang, cao &lt; 3m (2*3)</t>
  </si>
  <si>
    <t>4. Rãnh thoát nước xây gạch 110, có nắp đậy BTCT, rộng B ≤ 300</t>
  </si>
  <si>
    <t>3. Cây mít ĐK 8cm &lt; ĐK ≤ 15cm (cây trồng xen)</t>
  </si>
  <si>
    <t>2. Cây bưởi ĐK gốc 12cm ≤ ĐK &lt; 20cm (cây trồng xen)</t>
  </si>
  <si>
    <t>3. Cây hồng xiêm 7cm ≤ ĐK &lt; 12cm (cây trồng xen)</t>
  </si>
  <si>
    <t>2. Cây nhãn ĐK gốc 20cm ≤ ĐK  ≤ 30cm (cây trồng chính)</t>
  </si>
  <si>
    <t>1. Cây bưởi ĐK gốc 12cm ≤ ĐK &lt; 20cm (cây trồng chính)</t>
  </si>
  <si>
    <t>1.Cây nhãn ĐK gốc &gt; 30 cm (cây trồng chính)</t>
  </si>
  <si>
    <t>3. Khóm chuối không có buồng quả (cây trồng xen)</t>
  </si>
  <si>
    <t>2.Cây nhãn Đk gốc 7cm ≤ ĐK &lt;12cm (cây trồng chính)</t>
  </si>
  <si>
    <t>2.Cây nhãn ĐK gốc 12cm ≤ ĐK &lt;20cm (cây trồng chính)</t>
  </si>
  <si>
    <t>3.Cây nhãn ĐK gốc 7cm ≤  ĐK &lt; 12cm (cây trồng chính)</t>
  </si>
  <si>
    <t>3.Cây táo ĐK gốc 12cm ≤ ĐK &lt;20cm (cây trồng xen)</t>
  </si>
  <si>
    <t>5. Khóm chuối không có buồng quả</t>
  </si>
  <si>
    <t>3. Cây nhãn 7cm ≤ ĐK &lt; 12cm (cây trồng chính)</t>
  </si>
  <si>
    <t>5.Cây bưởi ĐK gốc 8cm ≤ ĐK &lt;12cm (cây trồng xen vượt mật độ)</t>
  </si>
  <si>
    <t>7. Tường rào xây gạch 110</t>
  </si>
  <si>
    <t>2. Cây nhãn ĐK gốc &gt;30 cm (cây trồng chính)</t>
  </si>
  <si>
    <t>1.Ao nuôi cá rô đồng từ khi thả đến dưới 2 tháng</t>
  </si>
  <si>
    <r>
      <t xml:space="preserve"> PHƯƠNG ÁN CHI TIẾT BỒI THƯỜNG HỖ TRỢ KHI NHÀ NƯỚC THU HỒI ĐẤT THỰC HIỆN DỰ ÁN KHU PHỨC HỢP ĐÔ THỊ DU LỊCH SINH THÁI, SÂN GÔN KHOÁI CHÂU, TỈNH HƯNG YÊN 
TRÊN ĐỊA BÀN THÔN ĐÔNG KẾT, XÃ KHOÁI CHÂU
</t>
    </r>
    <r>
      <rPr>
        <b/>
        <i/>
        <sz val="16"/>
        <rFont val="Times New Roman"/>
        <family val="1"/>
      </rPr>
      <t>(Kèm theo Quyết định số 1146/QĐ-UBND ngày 03/4/2026 của UBND xã Khoái Châu)</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</si>
</sst>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 _₫_-;\-* #,##0.00\ _₫_-;_-* &quot;-&quot;??\ _₫_-;_-@_-"/>
    <numFmt numFmtId="165" formatCode="0.0"/>
    <numFmt numFmtId="166" formatCode="#,##0.0"/>
    <numFmt numFmtId="167" formatCode="0.0_ "/>
  </numFmts>
  <fonts count="31">
    <font>
      <sz val="11"/>
      <color theme="1"/>
      <name val="Calibri"/>
      <charset val="134"/>
      <scheme val="minor"/>
    </font>
    <font>
      <sz val="11"/>
      <name val="Times New Roman"/>
      <family val="1"/>
    </font>
    <font>
      <b/>
      <sz val="11"/>
      <name val="Times New Roman"/>
      <family val="1"/>
    </font>
    <font>
      <b/>
      <sz val="16"/>
      <name val="Times New Roman"/>
      <family val="1"/>
    </font>
    <font>
      <b/>
      <sz val="12"/>
      <name val="Times New Roman"/>
      <family val="1"/>
    </font>
    <font>
      <b/>
      <sz val="12"/>
      <color theme="1"/>
      <name val="Times New Roman"/>
      <family val="1"/>
    </font>
    <font>
      <sz val="12"/>
      <name val="Times New Roman"/>
      <family val="1"/>
    </font>
    <font>
      <sz val="13"/>
      <color rgb="FFFF0000"/>
      <name val="Times New Roman"/>
      <family val="1"/>
    </font>
    <font>
      <sz val="13"/>
      <name val="Times New Roman"/>
      <family val="1"/>
    </font>
    <font>
      <sz val="13"/>
      <color theme="1"/>
      <name val="Times New Roman"/>
      <family val="1"/>
    </font>
    <font>
      <sz val="13"/>
      <color theme="1"/>
      <name val="Times New Roman"/>
      <family val="1"/>
    </font>
    <font>
      <b/>
      <sz val="16"/>
      <color theme="1"/>
      <name val="Times New Roman"/>
      <family val="1"/>
    </font>
    <font>
      <sz val="11"/>
      <color theme="1"/>
      <name val="Calibri"/>
      <family val="2"/>
      <scheme val="minor"/>
    </font>
    <font>
      <sz val="11"/>
      <color indexed="8"/>
      <name val="Calibri"/>
      <family val="2"/>
    </font>
    <font>
      <sz val="11"/>
      <color indexed="8"/>
      <name val="Arial"/>
      <family val="2"/>
    </font>
    <font>
      <sz val="10"/>
      <name val="Arial"/>
      <family val="2"/>
    </font>
    <font>
      <sz val="11"/>
      <color theme="1"/>
      <name val="Arial"/>
      <family val="2"/>
    </font>
    <font>
      <b/>
      <i/>
      <sz val="16"/>
      <name val="Times New Roman"/>
      <family val="1"/>
    </font>
    <font>
      <b/>
      <sz val="13"/>
      <name val="Times New Roman"/>
      <family val="1"/>
    </font>
    <font>
      <vertAlign val="superscript"/>
      <sz val="12"/>
      <name val="Times New Roman"/>
      <family val="1"/>
    </font>
    <font>
      <b/>
      <i/>
      <sz val="12"/>
      <name val="Times New Roman"/>
      <family val="1"/>
    </font>
    <font>
      <sz val="11"/>
      <color theme="1"/>
      <name val="Calibri"/>
      <family val="2"/>
      <scheme val="minor"/>
    </font>
    <font>
      <sz val="12"/>
      <color theme="1"/>
      <name val="Times New Roman"/>
      <family val="1"/>
    </font>
    <font>
      <sz val="11"/>
      <color theme="1"/>
      <name val="Times New Roman"/>
      <family val="1"/>
    </font>
    <font>
      <sz val="11"/>
      <name val="Calibri"/>
      <family val="2"/>
      <scheme val="minor"/>
    </font>
    <font>
      <vertAlign val="superscript"/>
      <sz val="13"/>
      <name val="Times New Roman"/>
      <family val="1"/>
    </font>
    <font>
      <sz val="12"/>
      <color rgb="FF000000"/>
      <name val="Times New Roman"/>
      <family val="1"/>
    </font>
    <font>
      <sz val="12"/>
      <name val="Calibri"/>
      <family val="2"/>
    </font>
    <font>
      <sz val="11"/>
      <color theme="0"/>
      <name val="Times New Roman"/>
      <family val="1"/>
    </font>
    <font>
      <b/>
      <sz val="10"/>
      <name val="Times New Roman"/>
      <family val="1"/>
    </font>
    <font>
      <sz val="10"/>
      <name val="Times New Roman"/>
      <family val="1"/>
    </font>
  </fonts>
  <fills count="6">
    <fill>
      <patternFill patternType="none"/>
    </fill>
    <fill>
      <patternFill patternType="gray125"/>
    </fill>
    <fill>
      <patternFill patternType="solid">
        <fgColor rgb="FFFFFFCC"/>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8">
    <xf numFmtId="0" fontId="0" fillId="0" borderId="0"/>
    <xf numFmtId="9" fontId="12" fillId="0" borderId="0" applyFont="0" applyFill="0" applyBorder="0" applyAlignment="0" applyProtection="0"/>
    <xf numFmtId="164" fontId="12" fillId="0" borderId="0" applyFont="0" applyFill="0" applyBorder="0" applyAlignment="0" applyProtection="0"/>
    <xf numFmtId="164" fontId="13" fillId="0" borderId="0" applyFont="0" applyFill="0" applyBorder="0" applyAlignment="0" applyProtection="0"/>
    <xf numFmtId="164" fontId="14"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5" fillId="0" borderId="0"/>
    <xf numFmtId="0" fontId="16" fillId="0" borderId="0"/>
    <xf numFmtId="0" fontId="15"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21" fillId="0" borderId="0" applyFont="0" applyFill="0" applyBorder="0" applyAlignment="0" applyProtection="0"/>
  </cellStyleXfs>
  <cellXfs count="325">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5" fillId="0" borderId="3" xfId="0" applyFont="1" applyBorder="1" applyAlignment="1">
      <alignment horizontal="center" vertical="center" wrapText="1"/>
    </xf>
    <xf numFmtId="166" fontId="5" fillId="0" borderId="3" xfId="0" applyNumberFormat="1" applyFont="1" applyBorder="1" applyAlignment="1">
      <alignment horizontal="center" vertical="center" wrapText="1"/>
    </xf>
    <xf numFmtId="0" fontId="10" fillId="0" borderId="3" xfId="0" applyFont="1" applyBorder="1" applyAlignment="1">
      <alignment horizontal="left" vertical="center" wrapText="1"/>
    </xf>
    <xf numFmtId="0" fontId="10" fillId="0" borderId="3" xfId="0" applyFont="1" applyBorder="1" applyAlignment="1">
      <alignment horizontal="center" vertical="center" wrapText="1"/>
    </xf>
    <xf numFmtId="166" fontId="10" fillId="0" borderId="3" xfId="0" applyNumberFormat="1" applyFont="1" applyBorder="1" applyAlignment="1">
      <alignment horizontal="center" vertical="center" wrapText="1"/>
    </xf>
    <xf numFmtId="3" fontId="5" fillId="0" borderId="3"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166" fontId="7" fillId="0" borderId="3" xfId="0" applyNumberFormat="1" applyFont="1" applyBorder="1" applyAlignment="1">
      <alignment horizontal="center" vertical="center" wrapText="1"/>
    </xf>
    <xf numFmtId="0" fontId="18" fillId="2" borderId="2" xfId="0" applyFont="1" applyFill="1" applyBorder="1" applyAlignment="1">
      <alignment vertical="center"/>
    </xf>
    <xf numFmtId="0" fontId="18" fillId="2" borderId="0" xfId="0" applyFont="1" applyFill="1" applyBorder="1" applyAlignment="1">
      <alignment vertical="center"/>
    </xf>
    <xf numFmtId="0" fontId="4" fillId="2" borderId="7" xfId="0" applyFont="1" applyFill="1" applyBorder="1" applyAlignment="1">
      <alignment horizontal="center" vertical="center"/>
    </xf>
    <xf numFmtId="0" fontId="4" fillId="2" borderId="7" xfId="0" applyNumberFormat="1" applyFont="1" applyFill="1" applyBorder="1" applyAlignment="1" applyProtection="1">
      <alignment horizontal="left" vertical="center" wrapText="1"/>
    </xf>
    <xf numFmtId="0" fontId="4" fillId="2" borderId="7" xfId="0" applyNumberFormat="1" applyFont="1" applyFill="1" applyBorder="1" applyAlignment="1" applyProtection="1">
      <alignment horizontal="center" vertical="center"/>
    </xf>
    <xf numFmtId="4" fontId="4" fillId="2" borderId="7" xfId="0" applyNumberFormat="1" applyFont="1" applyFill="1" applyBorder="1" applyAlignment="1">
      <alignment horizontal="center" vertical="center"/>
    </xf>
    <xf numFmtId="0" fontId="6" fillId="2" borderId="7" xfId="0" applyFont="1" applyFill="1" applyBorder="1" applyAlignment="1">
      <alignment horizontal="center" vertical="center"/>
    </xf>
    <xf numFmtId="1" fontId="4" fillId="2" borderId="7"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0" fontId="4" fillId="2" borderId="7"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7" xfId="0" applyFont="1" applyFill="1" applyBorder="1" applyAlignment="1">
      <alignment horizontal="center" vertical="center" wrapText="1"/>
    </xf>
    <xf numFmtId="3" fontId="4" fillId="2" borderId="7"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4" fillId="0" borderId="7" xfId="0" applyFont="1" applyFill="1" applyBorder="1" applyAlignment="1">
      <alignment horizontal="center" vertical="center" wrapText="1"/>
    </xf>
    <xf numFmtId="3" fontId="4"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wrapText="1"/>
    </xf>
    <xf numFmtId="0" fontId="4" fillId="0" borderId="7" xfId="0" applyFont="1" applyFill="1" applyBorder="1" applyAlignment="1">
      <alignment horizontal="left" vertical="center" wrapText="1"/>
    </xf>
    <xf numFmtId="3" fontId="6" fillId="0" borderId="7"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7" xfId="0" applyFont="1" applyFill="1" applyBorder="1" applyAlignment="1">
      <alignment horizontal="left" vertical="center"/>
    </xf>
    <xf numFmtId="0" fontId="6" fillId="0" borderId="7" xfId="0" applyNumberFormat="1" applyFont="1" applyFill="1" applyBorder="1" applyAlignment="1" applyProtection="1">
      <alignment horizontal="left"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6" fillId="0" borderId="7" xfId="0" applyNumberFormat="1" applyFont="1" applyFill="1" applyBorder="1" applyAlignment="1" applyProtection="1">
      <alignment horizontal="center" vertical="center" wrapText="1"/>
    </xf>
    <xf numFmtId="3" fontId="8" fillId="0" borderId="7" xfId="0" applyNumberFormat="1" applyFont="1" applyFill="1" applyBorder="1" applyAlignment="1">
      <alignment horizontal="center" vertical="center"/>
    </xf>
    <xf numFmtId="9" fontId="8" fillId="0" borderId="7" xfId="1" applyFont="1" applyFill="1" applyBorder="1" applyAlignment="1">
      <alignment horizontal="center" vertical="center"/>
    </xf>
    <xf numFmtId="3" fontId="8" fillId="0" borderId="7" xfId="0" applyNumberFormat="1" applyFont="1" applyFill="1" applyBorder="1" applyAlignment="1">
      <alignment horizontal="center" vertical="center" wrapText="1"/>
    </xf>
    <xf numFmtId="0" fontId="24" fillId="0" borderId="0" xfId="0" applyFont="1" applyFill="1" applyBorder="1"/>
    <xf numFmtId="0" fontId="8" fillId="0" borderId="0" xfId="0" applyFont="1" applyFill="1" applyBorder="1"/>
    <xf numFmtId="0" fontId="6" fillId="0" borderId="7" xfId="27" applyFont="1" applyFill="1" applyBorder="1" applyAlignment="1">
      <alignment vertical="center" wrapText="1"/>
    </xf>
    <xf numFmtId="0" fontId="6" fillId="0" borderId="7" xfId="27" applyFont="1" applyFill="1" applyBorder="1" applyAlignment="1">
      <alignment horizontal="center" vertical="center" wrapText="1"/>
    </xf>
    <xf numFmtId="3" fontId="6" fillId="0" borderId="7" xfId="27" applyNumberFormat="1" applyFont="1" applyFill="1" applyBorder="1" applyAlignment="1">
      <alignment horizontal="center" vertical="center" wrapText="1"/>
    </xf>
    <xf numFmtId="49" fontId="8" fillId="0" borderId="7" xfId="0" applyNumberFormat="1" applyFont="1" applyFill="1" applyBorder="1" applyAlignment="1" applyProtection="1">
      <alignment horizontal="left" vertical="center" wrapText="1"/>
    </xf>
    <xf numFmtId="0" fontId="6" fillId="0" borderId="7" xfId="0" applyFont="1" applyFill="1" applyBorder="1" applyAlignment="1">
      <alignment vertical="center" wrapText="1"/>
    </xf>
    <xf numFmtId="0" fontId="6"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4" fontId="8" fillId="0" borderId="7" xfId="0" applyNumberFormat="1" applyFont="1" applyFill="1" applyBorder="1" applyAlignment="1">
      <alignment horizontal="center" vertical="center"/>
    </xf>
    <xf numFmtId="9" fontId="8" fillId="0" borderId="7" xfId="1" applyNumberFormat="1" applyFont="1" applyFill="1" applyBorder="1" applyAlignment="1">
      <alignment horizontal="center" vertical="center"/>
    </xf>
    <xf numFmtId="165" fontId="8" fillId="0" borderId="7" xfId="0" applyNumberFormat="1" applyFont="1" applyFill="1" applyBorder="1" applyAlignment="1">
      <alignment horizontal="center" vertical="center"/>
    </xf>
    <xf numFmtId="166" fontId="8" fillId="0" borderId="7" xfId="0" applyNumberFormat="1" applyFont="1" applyFill="1" applyBorder="1" applyAlignment="1">
      <alignment horizontal="center" vertical="center" wrapText="1"/>
    </xf>
    <xf numFmtId="0" fontId="8" fillId="0" borderId="0" xfId="0" applyFont="1" applyFill="1"/>
    <xf numFmtId="0" fontId="24" fillId="0" borderId="7" xfId="0" applyFont="1" applyFill="1" applyBorder="1"/>
    <xf numFmtId="167" fontId="8" fillId="0" borderId="7" xfId="0" applyNumberFormat="1" applyFont="1" applyFill="1" applyBorder="1" applyAlignment="1">
      <alignment horizontal="center" vertical="center"/>
    </xf>
    <xf numFmtId="49" fontId="8" fillId="0" borderId="7" xfId="0" applyNumberFormat="1" applyFont="1" applyFill="1" applyBorder="1" applyAlignment="1">
      <alignment horizontal="left" vertical="center" wrapText="1"/>
    </xf>
    <xf numFmtId="165" fontId="8" fillId="0" borderId="7" xfId="0" applyNumberFormat="1" applyFont="1" applyFill="1" applyBorder="1" applyAlignment="1" applyProtection="1">
      <alignment horizontal="center" vertical="center"/>
    </xf>
    <xf numFmtId="0" fontId="6" fillId="0" borderId="7" xfId="27" applyFont="1" applyFill="1" applyBorder="1" applyAlignment="1">
      <alignment horizontal="left" vertical="center" wrapText="1"/>
    </xf>
    <xf numFmtId="0" fontId="8" fillId="0" borderId="7" xfId="0" applyNumberFormat="1" applyFont="1" applyFill="1" applyBorder="1" applyAlignment="1" applyProtection="1">
      <alignment horizontal="center" vertical="center"/>
    </xf>
    <xf numFmtId="0" fontId="6" fillId="0" borderId="7" xfId="0" applyFont="1" applyFill="1" applyBorder="1" applyAlignment="1">
      <alignment horizontal="center" vertical="center"/>
    </xf>
    <xf numFmtId="3" fontId="6" fillId="0" borderId="7" xfId="0" applyNumberFormat="1" applyFont="1" applyFill="1" applyBorder="1" applyAlignment="1">
      <alignment vertical="center"/>
    </xf>
    <xf numFmtId="0" fontId="6" fillId="0" borderId="7" xfId="0" applyFont="1" applyFill="1" applyBorder="1" applyAlignment="1">
      <alignment vertical="center"/>
    </xf>
    <xf numFmtId="1" fontId="6" fillId="0" borderId="7" xfId="0" applyNumberFormat="1" applyFont="1" applyFill="1" applyBorder="1" applyAlignment="1">
      <alignment horizontal="center" vertical="center" wrapText="1"/>
    </xf>
    <xf numFmtId="9" fontId="6" fillId="0" borderId="7" xfId="0" applyNumberFormat="1" applyFont="1" applyFill="1" applyBorder="1" applyAlignment="1">
      <alignment horizontal="center" vertical="center" wrapText="1"/>
    </xf>
    <xf numFmtId="0" fontId="8" fillId="0" borderId="7" xfId="0" applyNumberFormat="1" applyFont="1" applyFill="1" applyBorder="1" applyAlignment="1" applyProtection="1">
      <alignment vertical="center"/>
    </xf>
    <xf numFmtId="165" fontId="8" fillId="0" borderId="7" xfId="0" applyNumberFormat="1" applyFont="1" applyFill="1" applyBorder="1" applyAlignment="1" applyProtection="1">
      <alignment vertical="center"/>
    </xf>
    <xf numFmtId="165" fontId="8" fillId="0" borderId="7" xfId="0" applyNumberFormat="1" applyFont="1" applyFill="1" applyBorder="1" applyAlignment="1">
      <alignment vertical="center"/>
    </xf>
    <xf numFmtId="0" fontId="8" fillId="0" borderId="7" xfId="0" applyFont="1" applyFill="1" applyBorder="1"/>
    <xf numFmtId="3" fontId="6" fillId="0" borderId="7" xfId="37" applyNumberFormat="1" applyFont="1" applyFill="1" applyBorder="1" applyAlignment="1">
      <alignment horizontal="center" vertical="center"/>
    </xf>
    <xf numFmtId="9" fontId="6" fillId="0" borderId="7" xfId="0" applyNumberFormat="1" applyFont="1" applyFill="1" applyBorder="1" applyAlignment="1">
      <alignment horizontal="center" vertical="center"/>
    </xf>
    <xf numFmtId="4" fontId="6" fillId="0" borderId="7" xfId="0" applyNumberFormat="1" applyFont="1" applyFill="1" applyBorder="1" applyAlignment="1">
      <alignment horizontal="center" vertical="center" wrapText="1"/>
    </xf>
    <xf numFmtId="0" fontId="20" fillId="0" borderId="7" xfId="0" applyFont="1" applyFill="1" applyBorder="1" applyAlignment="1">
      <alignment horizontal="left" vertical="center"/>
    </xf>
    <xf numFmtId="0" fontId="1" fillId="0" borderId="0" xfId="0" applyFont="1" applyFill="1" applyBorder="1" applyAlignment="1">
      <alignment vertical="center"/>
    </xf>
    <xf numFmtId="9" fontId="6" fillId="0" borderId="7" xfId="1" applyFont="1" applyFill="1" applyBorder="1" applyAlignment="1">
      <alignment horizontal="center" vertical="center" wrapText="1"/>
    </xf>
    <xf numFmtId="0" fontId="6" fillId="0" borderId="7" xfId="0" applyFont="1" applyFill="1" applyBorder="1" applyAlignment="1">
      <alignment horizontal="left" vertical="center" wrapText="1"/>
    </xf>
    <xf numFmtId="0" fontId="20" fillId="0" borderId="7" xfId="0" applyFont="1" applyFill="1" applyBorder="1" applyAlignment="1">
      <alignment horizontal="center" vertical="center"/>
    </xf>
    <xf numFmtId="4" fontId="6" fillId="0" borderId="7" xfId="27" applyNumberFormat="1" applyFont="1" applyFill="1" applyBorder="1" applyAlignment="1">
      <alignment horizontal="center" vertical="center" wrapText="1"/>
    </xf>
    <xf numFmtId="166" fontId="6" fillId="0" borderId="7" xfId="0" applyNumberFormat="1" applyFont="1" applyFill="1" applyBorder="1" applyAlignment="1">
      <alignment horizontal="center" vertical="center" wrapText="1"/>
    </xf>
    <xf numFmtId="0" fontId="1" fillId="0" borderId="3" xfId="0" applyFont="1" applyFill="1" applyBorder="1" applyAlignment="1">
      <alignment vertical="center"/>
    </xf>
    <xf numFmtId="3" fontId="20" fillId="0" borderId="7" xfId="0" applyNumberFormat="1" applyFont="1" applyFill="1" applyBorder="1" applyAlignment="1">
      <alignment horizontal="center" vertical="center"/>
    </xf>
    <xf numFmtId="4" fontId="6" fillId="0" borderId="0" xfId="0" applyNumberFormat="1" applyFont="1" applyFill="1" applyAlignment="1">
      <alignment vertical="center"/>
    </xf>
    <xf numFmtId="0" fontId="6" fillId="0" borderId="0" xfId="0" applyFont="1" applyFill="1" applyAlignment="1">
      <alignment vertical="center"/>
    </xf>
    <xf numFmtId="0" fontId="6" fillId="0" borderId="7" xfId="0" applyFont="1" applyFill="1" applyBorder="1" applyAlignment="1">
      <alignment horizontal="left" vertical="center"/>
    </xf>
    <xf numFmtId="0" fontId="4" fillId="0" borderId="7" xfId="0" applyFont="1" applyFill="1" applyBorder="1" applyAlignment="1">
      <alignment vertical="center" wrapText="1"/>
    </xf>
    <xf numFmtId="165" fontId="4" fillId="0" borderId="7" xfId="0" applyNumberFormat="1" applyFont="1" applyFill="1" applyBorder="1" applyAlignment="1">
      <alignment horizontal="center" vertical="center" wrapText="1"/>
    </xf>
    <xf numFmtId="1" fontId="4" fillId="0" borderId="7" xfId="0" applyNumberFormat="1" applyFont="1" applyFill="1" applyBorder="1" applyAlignment="1">
      <alignment horizontal="center" vertical="center" wrapText="1"/>
    </xf>
    <xf numFmtId="0" fontId="1" fillId="0" borderId="0" xfId="0" applyFont="1" applyFill="1" applyAlignment="1">
      <alignment horizontal="left" vertical="center" wrapText="1"/>
    </xf>
    <xf numFmtId="3"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3" fontId="6" fillId="2" borderId="7"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xf numFmtId="0" fontId="6" fillId="3" borderId="7" xfId="27" applyFont="1" applyFill="1" applyBorder="1" applyAlignment="1">
      <alignment vertical="center" wrapText="1"/>
    </xf>
    <xf numFmtId="0" fontId="6" fillId="3" borderId="7" xfId="27" applyFont="1" applyFill="1" applyBorder="1" applyAlignment="1">
      <alignment horizontal="left" vertical="center" wrapText="1"/>
    </xf>
    <xf numFmtId="0" fontId="6" fillId="3" borderId="7" xfId="0" applyFont="1" applyFill="1" applyBorder="1" applyAlignment="1">
      <alignment horizontal="center" vertical="center" wrapText="1"/>
    </xf>
    <xf numFmtId="3" fontId="6" fillId="3" borderId="7" xfId="0" applyNumberFormat="1" applyFont="1" applyFill="1" applyBorder="1" applyAlignment="1">
      <alignment horizontal="center" vertical="center" wrapText="1"/>
    </xf>
    <xf numFmtId="3" fontId="6" fillId="3" borderId="7" xfId="27" applyNumberFormat="1" applyFont="1" applyFill="1" applyBorder="1" applyAlignment="1">
      <alignment horizontal="center" vertical="center" wrapText="1"/>
    </xf>
    <xf numFmtId="9" fontId="6" fillId="3" borderId="7"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0" xfId="0" applyFont="1" applyFill="1" applyBorder="1" applyAlignment="1">
      <alignment vertical="center"/>
    </xf>
    <xf numFmtId="4" fontId="6" fillId="3" borderId="7" xfId="0" applyNumberFormat="1" applyFont="1" applyFill="1" applyBorder="1" applyAlignment="1">
      <alignment horizontal="center" vertical="center" wrapText="1"/>
    </xf>
    <xf numFmtId="0" fontId="20" fillId="3" borderId="7" xfId="0" applyFont="1" applyFill="1" applyBorder="1" applyAlignment="1">
      <alignment horizontal="left" vertical="center"/>
    </xf>
    <xf numFmtId="49" fontId="8" fillId="3" borderId="7" xfId="0" applyNumberFormat="1" applyFont="1" applyFill="1" applyBorder="1" applyAlignment="1">
      <alignment horizontal="left" vertical="center" wrapText="1"/>
    </xf>
    <xf numFmtId="0" fontId="6" fillId="3" borderId="7" xfId="0" applyFont="1" applyFill="1" applyBorder="1" applyAlignment="1">
      <alignment vertical="center"/>
    </xf>
    <xf numFmtId="9" fontId="6" fillId="3" borderId="7" xfId="1" applyFont="1" applyFill="1" applyBorder="1" applyAlignment="1">
      <alignment horizontal="center" vertical="center" wrapText="1"/>
    </xf>
    <xf numFmtId="0" fontId="6" fillId="3" borderId="7" xfId="0" applyFont="1" applyFill="1" applyBorder="1" applyAlignment="1">
      <alignment horizontal="left" vertical="center" wrapText="1"/>
    </xf>
    <xf numFmtId="0" fontId="20" fillId="3" borderId="7" xfId="0" applyFont="1" applyFill="1" applyBorder="1" applyAlignment="1">
      <alignment horizontal="center" vertical="center"/>
    </xf>
    <xf numFmtId="4" fontId="6" fillId="3" borderId="7" xfId="27" applyNumberFormat="1" applyFont="1" applyFill="1" applyBorder="1" applyAlignment="1">
      <alignment horizontal="center" vertical="center" wrapText="1"/>
    </xf>
    <xf numFmtId="166" fontId="6" fillId="3" borderId="7" xfId="0" applyNumberFormat="1" applyFont="1" applyFill="1" applyBorder="1" applyAlignment="1">
      <alignment horizontal="center" vertical="center" wrapText="1"/>
    </xf>
    <xf numFmtId="0" fontId="1" fillId="3" borderId="3" xfId="0" applyFont="1" applyFill="1" applyBorder="1" applyAlignment="1">
      <alignment vertical="center"/>
    </xf>
    <xf numFmtId="0" fontId="8" fillId="3" borderId="7" xfId="0" applyFont="1" applyFill="1" applyBorder="1" applyAlignment="1">
      <alignment horizontal="center" vertical="center" wrapText="1"/>
    </xf>
    <xf numFmtId="3" fontId="20" fillId="3" borderId="7" xfId="0" applyNumberFormat="1" applyFont="1" applyFill="1" applyBorder="1" applyAlignment="1">
      <alignment horizontal="center" vertical="center"/>
    </xf>
    <xf numFmtId="1" fontId="6" fillId="3" borderId="7" xfId="0" applyNumberFormat="1" applyFont="1" applyFill="1" applyBorder="1" applyAlignment="1">
      <alignment horizontal="center" vertical="center" wrapText="1"/>
    </xf>
    <xf numFmtId="0" fontId="6" fillId="3" borderId="7" xfId="0" applyFont="1" applyFill="1" applyBorder="1" applyAlignment="1">
      <alignment horizontal="left" vertical="center"/>
    </xf>
    <xf numFmtId="0" fontId="6" fillId="3" borderId="7" xfId="0" applyFont="1" applyFill="1" applyBorder="1" applyAlignment="1">
      <alignment horizontal="center" vertical="center"/>
    </xf>
    <xf numFmtId="0" fontId="6" fillId="3" borderId="7" xfId="0" applyNumberFormat="1" applyFont="1" applyFill="1" applyBorder="1" applyAlignment="1" applyProtection="1">
      <alignment horizontal="left" vertical="center" wrapText="1"/>
    </xf>
    <xf numFmtId="0" fontId="6" fillId="3" borderId="7" xfId="0" applyNumberFormat="1" applyFont="1" applyFill="1" applyBorder="1" applyAlignment="1" applyProtection="1">
      <alignment horizontal="center" vertical="center" wrapText="1"/>
    </xf>
    <xf numFmtId="166" fontId="8" fillId="3" borderId="7" xfId="0" applyNumberFormat="1" applyFont="1" applyFill="1" applyBorder="1" applyAlignment="1">
      <alignment horizontal="center" vertical="center"/>
    </xf>
    <xf numFmtId="3" fontId="8" fillId="3" borderId="7" xfId="0" applyNumberFormat="1" applyFont="1" applyFill="1" applyBorder="1" applyAlignment="1">
      <alignment horizontal="center" vertical="center"/>
    </xf>
    <xf numFmtId="9" fontId="8" fillId="3" borderId="7" xfId="1" applyFont="1" applyFill="1" applyBorder="1" applyAlignment="1">
      <alignment horizontal="center" vertical="center"/>
    </xf>
    <xf numFmtId="3" fontId="8" fillId="3" borderId="7" xfId="0" applyNumberFormat="1" applyFont="1" applyFill="1" applyBorder="1" applyAlignment="1">
      <alignment horizontal="center" vertical="center" wrapText="1"/>
    </xf>
    <xf numFmtId="0" fontId="8" fillId="3" borderId="0" xfId="0" applyFont="1" applyFill="1" applyBorder="1"/>
    <xf numFmtId="0" fontId="8" fillId="3" borderId="7" xfId="0" applyFont="1" applyFill="1" applyBorder="1" applyAlignment="1">
      <alignment horizontal="left" vertical="center"/>
    </xf>
    <xf numFmtId="0" fontId="8" fillId="3" borderId="7" xfId="0" applyFont="1" applyFill="1" applyBorder="1" applyAlignment="1">
      <alignment horizontal="center" vertical="center"/>
    </xf>
    <xf numFmtId="0" fontId="8" fillId="3" borderId="7" xfId="0" applyFont="1" applyFill="1" applyBorder="1" applyAlignment="1">
      <alignment horizontal="left" vertical="center" wrapText="1"/>
    </xf>
    <xf numFmtId="165" fontId="8" fillId="3" borderId="7" xfId="0" applyNumberFormat="1" applyFont="1" applyFill="1" applyBorder="1" applyAlignment="1">
      <alignment horizontal="center" vertical="center"/>
    </xf>
    <xf numFmtId="9" fontId="8" fillId="3" borderId="7" xfId="1" applyNumberFormat="1" applyFont="1" applyFill="1" applyBorder="1" applyAlignment="1">
      <alignment horizontal="center" vertical="center"/>
    </xf>
    <xf numFmtId="0" fontId="6" fillId="3" borderId="7" xfId="27" applyFont="1" applyFill="1" applyBorder="1" applyAlignment="1">
      <alignment horizontal="center" vertical="center" wrapText="1"/>
    </xf>
    <xf numFmtId="0" fontId="24" fillId="3" borderId="0" xfId="0" applyFont="1" applyFill="1" applyBorder="1"/>
    <xf numFmtId="9" fontId="6" fillId="3" borderId="7" xfId="1" applyNumberFormat="1" applyFont="1" applyFill="1" applyBorder="1" applyAlignment="1">
      <alignment horizontal="center" vertical="center" wrapText="1"/>
    </xf>
    <xf numFmtId="0" fontId="1" fillId="3" borderId="0" xfId="0" applyFont="1" applyFill="1" applyAlignment="1">
      <alignment horizontal="center" vertical="center" wrapText="1"/>
    </xf>
    <xf numFmtId="49" fontId="8" fillId="3" borderId="7" xfId="0" applyNumberFormat="1" applyFont="1" applyFill="1" applyBorder="1" applyAlignment="1" applyProtection="1">
      <alignment horizontal="left" vertical="center" wrapText="1"/>
    </xf>
    <xf numFmtId="4" fontId="8" fillId="3" borderId="7" xfId="0" applyNumberFormat="1" applyFont="1" applyFill="1" applyBorder="1" applyAlignment="1">
      <alignment horizontal="center" vertical="center"/>
    </xf>
    <xf numFmtId="0" fontId="8" fillId="3" borderId="7" xfId="0" applyNumberFormat="1" applyFont="1" applyFill="1" applyBorder="1" applyAlignment="1" applyProtection="1">
      <alignment horizontal="left" vertical="center" wrapText="1"/>
    </xf>
    <xf numFmtId="165" fontId="8" fillId="3" borderId="7" xfId="0" applyNumberFormat="1" applyFont="1" applyFill="1" applyBorder="1" applyAlignment="1" applyProtection="1">
      <alignment horizontal="center" vertical="center"/>
    </xf>
    <xf numFmtId="1" fontId="8" fillId="3" borderId="7" xfId="0" applyNumberFormat="1" applyFont="1" applyFill="1" applyBorder="1" applyAlignment="1">
      <alignment horizontal="center" vertical="center"/>
    </xf>
    <xf numFmtId="3" fontId="18" fillId="3" borderId="7" xfId="0" applyNumberFormat="1" applyFont="1" applyFill="1" applyBorder="1" applyAlignment="1">
      <alignment horizontal="center" vertical="center"/>
    </xf>
    <xf numFmtId="0" fontId="8" fillId="3" borderId="7" xfId="0" applyNumberFormat="1" applyFont="1" applyFill="1" applyBorder="1" applyAlignment="1" applyProtection="1">
      <alignment horizontal="left" vertical="center"/>
    </xf>
    <xf numFmtId="0" fontId="6" fillId="3" borderId="7" xfId="0" applyFont="1" applyFill="1" applyBorder="1" applyAlignment="1">
      <alignment vertical="center" wrapText="1"/>
    </xf>
    <xf numFmtId="3" fontId="6" fillId="3" borderId="7" xfId="0" applyNumberFormat="1" applyFont="1" applyFill="1" applyBorder="1" applyAlignment="1">
      <alignment vertical="center"/>
    </xf>
    <xf numFmtId="0" fontId="1" fillId="3" borderId="0" xfId="0" applyFont="1" applyFill="1" applyBorder="1" applyAlignment="1">
      <alignment horizontal="center" vertical="center" wrapText="1"/>
    </xf>
    <xf numFmtId="0" fontId="8" fillId="3" borderId="7" xfId="0" applyNumberFormat="1" applyFont="1" applyFill="1" applyBorder="1" applyAlignment="1" applyProtection="1">
      <alignment horizontal="center" vertical="center"/>
    </xf>
    <xf numFmtId="166" fontId="8" fillId="3" borderId="7" xfId="0" applyNumberFormat="1" applyFont="1" applyFill="1" applyBorder="1" applyAlignment="1">
      <alignment horizontal="center" vertical="center" wrapText="1"/>
    </xf>
    <xf numFmtId="9" fontId="6" fillId="3" borderId="7" xfId="0" applyNumberFormat="1" applyFont="1" applyFill="1" applyBorder="1" applyAlignment="1">
      <alignment horizontal="center" vertical="center"/>
    </xf>
    <xf numFmtId="3" fontId="6" fillId="3" borderId="7" xfId="37" applyNumberFormat="1" applyFont="1" applyFill="1" applyBorder="1" applyAlignment="1">
      <alignment horizontal="center" vertical="center"/>
    </xf>
    <xf numFmtId="167" fontId="8" fillId="3" borderId="7" xfId="0" applyNumberFormat="1" applyFont="1" applyFill="1" applyBorder="1" applyAlignment="1">
      <alignment horizontal="center" vertical="center"/>
    </xf>
    <xf numFmtId="3" fontId="6" fillId="3" borderId="7" xfId="0" applyNumberFormat="1" applyFont="1" applyFill="1" applyBorder="1" applyAlignment="1">
      <alignment horizontal="center" vertical="center"/>
    </xf>
    <xf numFmtId="0" fontId="1" fillId="3" borderId="0" xfId="0" applyNumberFormat="1" applyFont="1" applyFill="1" applyBorder="1" applyAlignment="1" applyProtection="1">
      <alignment horizontal="center" vertical="center" wrapText="1"/>
    </xf>
    <xf numFmtId="0" fontId="8" fillId="3" borderId="0" xfId="0" applyFont="1" applyFill="1"/>
    <xf numFmtId="0" fontId="24" fillId="3" borderId="7" xfId="0" applyFont="1" applyFill="1" applyBorder="1"/>
    <xf numFmtId="0" fontId="6" fillId="3" borderId="7" xfId="0" applyFont="1" applyFill="1" applyBorder="1" applyAlignment="1">
      <alignment horizontal="center" vertical="center" wrapText="1"/>
    </xf>
    <xf numFmtId="3" fontId="6" fillId="3" borderId="7" xfId="0" applyNumberFormat="1" applyFont="1" applyFill="1" applyBorder="1" applyAlignment="1">
      <alignment horizontal="center" vertical="center" wrapText="1"/>
    </xf>
    <xf numFmtId="166" fontId="6" fillId="3" borderId="7" xfId="0" applyNumberFormat="1" applyFont="1" applyFill="1" applyBorder="1" applyAlignment="1">
      <alignment horizontal="center" vertical="center" wrapText="1"/>
    </xf>
    <xf numFmtId="0" fontId="1" fillId="0" borderId="10" xfId="0" applyFont="1" applyFill="1" applyBorder="1" applyAlignment="1">
      <alignment vertical="center" wrapText="1"/>
    </xf>
    <xf numFmtId="3" fontId="6" fillId="4" borderId="7" xfId="27"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6" fillId="0" borderId="7" xfId="0" applyFont="1" applyFill="1" applyBorder="1" applyAlignment="1">
      <alignment horizontal="center" vertical="center"/>
    </xf>
    <xf numFmtId="3" fontId="6" fillId="0" borderId="7" xfId="0" applyNumberFormat="1" applyFont="1" applyFill="1" applyBorder="1" applyAlignment="1">
      <alignment horizontal="center" vertical="center" wrapText="1"/>
    </xf>
    <xf numFmtId="3" fontId="6" fillId="0" borderId="7" xfId="0" applyNumberFormat="1" applyFont="1" applyFill="1" applyBorder="1" applyAlignment="1">
      <alignment horizontal="center" vertical="center"/>
    </xf>
    <xf numFmtId="0" fontId="6"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8" fillId="0" borderId="7" xfId="0" applyNumberFormat="1" applyFont="1" applyFill="1" applyBorder="1" applyAlignment="1" applyProtection="1">
      <alignment horizontal="center" vertical="center"/>
    </xf>
    <xf numFmtId="165" fontId="8" fillId="0" borderId="7" xfId="0" applyNumberFormat="1" applyFont="1" applyFill="1" applyBorder="1" applyAlignment="1" applyProtection="1">
      <alignment horizontal="center" vertical="center"/>
    </xf>
    <xf numFmtId="166" fontId="6" fillId="0" borderId="7" xfId="0" applyNumberFormat="1" applyFont="1" applyFill="1" applyBorder="1" applyAlignment="1">
      <alignment horizontal="center" vertical="center" wrapText="1"/>
    </xf>
    <xf numFmtId="3" fontId="4" fillId="0" borderId="7" xfId="0" applyNumberFormat="1" applyFont="1" applyFill="1" applyBorder="1" applyAlignment="1">
      <alignment horizontal="center" vertical="center" wrapText="1"/>
    </xf>
    <xf numFmtId="165" fontId="8" fillId="0" borderId="7" xfId="0" applyNumberFormat="1" applyFont="1" applyFill="1" applyBorder="1" applyAlignment="1">
      <alignment horizontal="center" vertical="center"/>
    </xf>
    <xf numFmtId="0" fontId="8" fillId="0" borderId="7" xfId="0" applyFont="1" applyFill="1" applyBorder="1" applyAlignment="1">
      <alignment horizontal="center" vertical="center"/>
    </xf>
    <xf numFmtId="0" fontId="8" fillId="0" borderId="7" xfId="0" applyNumberFormat="1" applyFont="1" applyFill="1" applyBorder="1" applyAlignment="1" applyProtection="1">
      <alignment horizontal="left" vertical="center" wrapText="1"/>
    </xf>
    <xf numFmtId="0" fontId="8" fillId="0" borderId="7" xfId="0" applyNumberFormat="1" applyFont="1" applyFill="1" applyBorder="1" applyAlignment="1" applyProtection="1">
      <alignment horizontal="left" vertical="center"/>
    </xf>
    <xf numFmtId="1" fontId="8" fillId="0" borderId="7" xfId="0" applyNumberFormat="1" applyFont="1" applyFill="1" applyBorder="1" applyAlignment="1">
      <alignment horizontal="center" vertical="center"/>
    </xf>
    <xf numFmtId="3" fontId="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xf>
    <xf numFmtId="0" fontId="1" fillId="0" borderId="0" xfId="0" applyFont="1" applyFill="1" applyAlignment="1">
      <alignment horizontal="center" vertical="center" wrapText="1"/>
    </xf>
    <xf numFmtId="3" fontId="4" fillId="0" borderId="7" xfId="0" applyNumberFormat="1" applyFont="1" applyFill="1" applyBorder="1" applyAlignment="1">
      <alignment horizontal="center" vertical="center"/>
    </xf>
    <xf numFmtId="1" fontId="6" fillId="0" borderId="7" xfId="0" applyNumberFormat="1" applyFont="1" applyFill="1" applyBorder="1" applyAlignment="1">
      <alignment horizontal="center" vertical="center" wrapText="1"/>
    </xf>
    <xf numFmtId="166" fontId="8" fillId="0" borderId="7" xfId="0" applyNumberFormat="1" applyFont="1" applyFill="1" applyBorder="1" applyAlignment="1">
      <alignment horizontal="center" vertical="center"/>
    </xf>
    <xf numFmtId="9" fontId="6" fillId="0" borderId="7" xfId="1" applyNumberFormat="1" applyFont="1" applyFill="1" applyBorder="1" applyAlignment="1">
      <alignment horizontal="center" vertical="center" wrapText="1"/>
    </xf>
    <xf numFmtId="0" fontId="4" fillId="0" borderId="0" xfId="0" applyFont="1" applyFill="1" applyAlignment="1">
      <alignment vertical="center" wrapText="1"/>
    </xf>
    <xf numFmtId="0" fontId="6" fillId="0" borderId="0" xfId="0" applyFont="1" applyFill="1"/>
    <xf numFmtId="0" fontId="4" fillId="0" borderId="7" xfId="0" applyFont="1" applyFill="1" applyBorder="1" applyAlignment="1">
      <alignment horizontal="center" vertical="center"/>
    </xf>
    <xf numFmtId="0" fontId="4" fillId="0" borderId="7"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center" vertical="center"/>
    </xf>
    <xf numFmtId="4" fontId="4" fillId="0" borderId="7" xfId="0" applyNumberFormat="1" applyFont="1" applyFill="1" applyBorder="1" applyAlignment="1">
      <alignment horizontal="center" vertical="center"/>
    </xf>
    <xf numFmtId="1" fontId="4" fillId="0" borderId="7" xfId="0" applyNumberFormat="1" applyFont="1" applyFill="1" applyBorder="1" applyAlignment="1">
      <alignment horizontal="center" vertical="center"/>
    </xf>
    <xf numFmtId="0" fontId="4" fillId="0" borderId="7" xfId="0" applyFont="1" applyFill="1" applyBorder="1" applyAlignment="1">
      <alignment horizontal="left" vertical="center"/>
    </xf>
    <xf numFmtId="0" fontId="18" fillId="0" borderId="2" xfId="0" applyFont="1" applyFill="1" applyBorder="1" applyAlignment="1">
      <alignment vertical="center"/>
    </xf>
    <xf numFmtId="0" fontId="18" fillId="0" borderId="0" xfId="0" applyFont="1" applyFill="1" applyBorder="1" applyAlignment="1">
      <alignment vertical="center"/>
    </xf>
    <xf numFmtId="0" fontId="23" fillId="0" borderId="11" xfId="0" applyFont="1" applyFill="1" applyBorder="1" applyAlignment="1">
      <alignment vertical="center"/>
    </xf>
    <xf numFmtId="0" fontId="22" fillId="0" borderId="7" xfId="0" applyFont="1" applyFill="1" applyBorder="1" applyAlignment="1">
      <alignment vertical="center"/>
    </xf>
    <xf numFmtId="0" fontId="23" fillId="0" borderId="0" xfId="0" applyFont="1" applyFill="1" applyBorder="1" applyAlignment="1">
      <alignment vertical="center"/>
    </xf>
    <xf numFmtId="4" fontId="22" fillId="0" borderId="7" xfId="0" applyNumberFormat="1" applyFont="1" applyFill="1" applyBorder="1" applyAlignment="1">
      <alignment horizontal="center" vertical="center" wrapText="1"/>
    </xf>
    <xf numFmtId="0" fontId="23" fillId="0" borderId="13" xfId="0" applyFont="1" applyFill="1" applyBorder="1" applyAlignment="1">
      <alignment vertical="center" wrapText="1"/>
    </xf>
    <xf numFmtId="0" fontId="23" fillId="0" borderId="6" xfId="0" applyFont="1" applyFill="1" applyBorder="1" applyAlignment="1">
      <alignment vertical="center" wrapText="1"/>
    </xf>
    <xf numFmtId="0" fontId="26" fillId="0" borderId="11" xfId="27" applyFont="1" applyFill="1" applyBorder="1" applyAlignment="1">
      <alignment horizontal="left" vertical="center" wrapText="1"/>
    </xf>
    <xf numFmtId="0" fontId="23" fillId="0" borderId="16" xfId="0" applyFont="1" applyFill="1" applyBorder="1" applyAlignment="1">
      <alignment vertical="center" wrapText="1"/>
    </xf>
    <xf numFmtId="166" fontId="4" fillId="0" borderId="7" xfId="0" applyNumberFormat="1" applyFont="1" applyFill="1" applyBorder="1" applyAlignment="1">
      <alignment horizontal="center" vertical="center" wrapText="1"/>
    </xf>
    <xf numFmtId="0" fontId="28" fillId="0" borderId="0" xfId="0" applyFont="1" applyFill="1" applyAlignment="1">
      <alignment vertical="center" wrapText="1"/>
    </xf>
    <xf numFmtId="3" fontId="28" fillId="0" borderId="0" xfId="0" applyNumberFormat="1" applyFont="1" applyFill="1" applyAlignment="1">
      <alignment horizontal="center" vertical="center" wrapText="1"/>
    </xf>
    <xf numFmtId="3" fontId="28" fillId="0" borderId="0" xfId="0" applyNumberFormat="1" applyFont="1" applyFill="1" applyAlignment="1">
      <alignment horizontal="left" vertical="center" wrapText="1"/>
    </xf>
    <xf numFmtId="3" fontId="28" fillId="0" borderId="0" xfId="0" applyNumberFormat="1" applyFont="1" applyFill="1" applyAlignment="1">
      <alignment vertical="center" wrapText="1"/>
    </xf>
    <xf numFmtId="0" fontId="30" fillId="0" borderId="0" xfId="0" applyFont="1" applyFill="1" applyAlignment="1">
      <alignment vertical="center" wrapText="1"/>
    </xf>
    <xf numFmtId="0" fontId="29" fillId="0" borderId="7" xfId="0" applyFont="1" applyFill="1" applyBorder="1" applyAlignment="1">
      <alignment horizontal="center" vertical="center" wrapText="1"/>
    </xf>
    <xf numFmtId="3" fontId="29" fillId="0" borderId="7" xfId="0" applyNumberFormat="1" applyFont="1" applyFill="1" applyBorder="1" applyAlignment="1">
      <alignment horizontal="center" vertical="center" wrapText="1"/>
    </xf>
    <xf numFmtId="4" fontId="29" fillId="0" borderId="7" xfId="0" applyNumberFormat="1" applyFont="1" applyFill="1" applyBorder="1" applyAlignment="1">
      <alignment horizontal="center" vertical="center" wrapText="1"/>
    </xf>
    <xf numFmtId="3" fontId="2" fillId="0" borderId="0" xfId="0" applyNumberFormat="1" applyFont="1" applyFill="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3" fontId="18" fillId="3" borderId="7" xfId="0" applyNumberFormat="1" applyFont="1" applyFill="1" applyBorder="1" applyAlignment="1">
      <alignment horizontal="center" vertical="center"/>
    </xf>
    <xf numFmtId="165" fontId="6" fillId="3" borderId="7" xfId="37" applyNumberFormat="1" applyFont="1" applyFill="1" applyBorder="1" applyAlignment="1">
      <alignment horizontal="center" vertical="center"/>
    </xf>
    <xf numFmtId="1" fontId="8" fillId="3" borderId="7" xfId="0" applyNumberFormat="1" applyFont="1" applyFill="1" applyBorder="1" applyAlignment="1">
      <alignment horizontal="center" vertical="center"/>
    </xf>
    <xf numFmtId="3" fontId="8" fillId="3" borderId="7" xfId="0" applyNumberFormat="1" applyFont="1" applyFill="1" applyBorder="1" applyAlignment="1">
      <alignment horizontal="center" vertical="center"/>
    </xf>
    <xf numFmtId="0" fontId="8" fillId="3" borderId="7" xfId="0" applyFont="1" applyFill="1" applyBorder="1" applyAlignment="1">
      <alignment horizontal="center" vertical="center"/>
    </xf>
    <xf numFmtId="0" fontId="8" fillId="3" borderId="7" xfId="0" applyNumberFormat="1" applyFont="1" applyFill="1" applyBorder="1" applyAlignment="1" applyProtection="1">
      <alignment horizontal="center" vertical="center"/>
    </xf>
    <xf numFmtId="165" fontId="8" fillId="3" borderId="7" xfId="0" applyNumberFormat="1" applyFont="1" applyFill="1" applyBorder="1" applyAlignment="1" applyProtection="1">
      <alignment horizontal="center" vertical="center"/>
    </xf>
    <xf numFmtId="165" fontId="8" fillId="3" borderId="7" xfId="30" applyNumberFormat="1" applyFont="1" applyFill="1" applyBorder="1" applyAlignment="1">
      <alignment horizontal="center" vertical="center"/>
    </xf>
    <xf numFmtId="165" fontId="8" fillId="3" borderId="7" xfId="0" applyNumberFormat="1" applyFont="1" applyFill="1" applyBorder="1" applyAlignment="1">
      <alignment horizontal="center" vertical="center"/>
    </xf>
    <xf numFmtId="0" fontId="8" fillId="3" borderId="7" xfId="0" applyNumberFormat="1" applyFont="1" applyFill="1" applyBorder="1" applyAlignment="1" applyProtection="1">
      <alignment horizontal="left" vertical="center" wrapText="1"/>
    </xf>
    <xf numFmtId="0" fontId="8" fillId="3" borderId="0" xfId="0" applyFont="1" applyFill="1" applyAlignment="1">
      <alignment horizontal="center" wrapText="1"/>
    </xf>
    <xf numFmtId="0" fontId="8" fillId="3" borderId="7" xfId="0" applyNumberFormat="1" applyFont="1" applyFill="1" applyBorder="1" applyAlignment="1" applyProtection="1">
      <alignment horizontal="left" vertical="center"/>
    </xf>
    <xf numFmtId="0" fontId="8" fillId="3" borderId="7" xfId="30" applyFont="1" applyFill="1" applyBorder="1" applyAlignment="1">
      <alignment horizontal="center" vertical="center"/>
    </xf>
    <xf numFmtId="166" fontId="8" fillId="3" borderId="7" xfId="0" applyNumberFormat="1" applyFont="1" applyFill="1" applyBorder="1" applyAlignment="1">
      <alignment horizontal="center" vertical="center"/>
    </xf>
    <xf numFmtId="0" fontId="1" fillId="3" borderId="9"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7" xfId="0" applyNumberFormat="1" applyFont="1" applyFill="1" applyBorder="1" applyAlignment="1" applyProtection="1">
      <alignment horizontal="left" vertical="center" wrapText="1"/>
    </xf>
    <xf numFmtId="0" fontId="8" fillId="0" borderId="7" xfId="0" applyNumberFormat="1" applyFont="1" applyFill="1" applyBorder="1" applyAlignment="1" applyProtection="1">
      <alignment horizontal="left" vertical="center"/>
    </xf>
    <xf numFmtId="165" fontId="8" fillId="0" borderId="7" xfId="0" applyNumberFormat="1" applyFont="1" applyFill="1" applyBorder="1" applyAlignment="1">
      <alignment horizontal="center" vertical="center"/>
    </xf>
    <xf numFmtId="1" fontId="8" fillId="0" borderId="7" xfId="0" applyNumberFormat="1" applyFont="1" applyFill="1" applyBorder="1" applyAlignment="1">
      <alignment horizontal="center" vertical="center"/>
    </xf>
    <xf numFmtId="3" fontId="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0" xfId="0" applyFont="1" applyFill="1" applyAlignment="1">
      <alignment horizontal="center" vertical="center" wrapText="1"/>
    </xf>
    <xf numFmtId="0" fontId="8" fillId="3" borderId="7" xfId="0" applyNumberFormat="1" applyFont="1" applyFill="1" applyBorder="1" applyAlignment="1" applyProtection="1">
      <alignment horizontal="center" vertical="center" wrapText="1"/>
    </xf>
    <xf numFmtId="0" fontId="1" fillId="3" borderId="8" xfId="0" applyNumberFormat="1" applyFont="1" applyFill="1" applyBorder="1" applyAlignment="1" applyProtection="1">
      <alignment horizontal="center" vertical="center" wrapText="1"/>
    </xf>
    <xf numFmtId="0" fontId="1" fillId="3" borderId="0" xfId="0" applyNumberFormat="1" applyFont="1" applyFill="1" applyBorder="1" applyAlignment="1" applyProtection="1">
      <alignment horizontal="center" vertical="center" wrapText="1"/>
    </xf>
    <xf numFmtId="3" fontId="4" fillId="3" borderId="7" xfId="0" applyNumberFormat="1" applyFont="1" applyFill="1" applyBorder="1" applyAlignment="1">
      <alignment horizontal="center" vertical="center" wrapText="1"/>
    </xf>
    <xf numFmtId="0" fontId="6" fillId="3" borderId="7" xfId="0" applyFont="1" applyFill="1" applyBorder="1" applyAlignment="1">
      <alignment horizontal="center" vertical="center"/>
    </xf>
    <xf numFmtId="0" fontId="4" fillId="0" borderId="7" xfId="0"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 fontId="4" fillId="3" borderId="0" xfId="0"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wrapText="1"/>
    </xf>
    <xf numFmtId="4" fontId="6" fillId="3" borderId="6" xfId="0" applyNumberFormat="1" applyFont="1" applyFill="1" applyBorder="1" applyAlignment="1">
      <alignment horizontal="center" vertical="center" wrapText="1"/>
    </xf>
    <xf numFmtId="3" fontId="6" fillId="3" borderId="7" xfId="0" applyNumberFormat="1" applyFont="1" applyFill="1" applyBorder="1" applyAlignment="1">
      <alignment horizontal="center" vertical="center" wrapText="1"/>
    </xf>
    <xf numFmtId="3" fontId="6" fillId="0" borderId="7" xfId="0" applyNumberFormat="1" applyFont="1" applyFill="1" applyBorder="1" applyAlignment="1">
      <alignment horizontal="center" vertical="center" wrapText="1"/>
    </xf>
    <xf numFmtId="3" fontId="6" fillId="0" borderId="7" xfId="0" applyNumberFormat="1" applyFont="1" applyFill="1" applyBorder="1" applyAlignment="1">
      <alignment horizontal="center" vertical="center"/>
    </xf>
    <xf numFmtId="3" fontId="6" fillId="3" borderId="7" xfId="0" applyNumberFormat="1" applyFont="1" applyFill="1" applyBorder="1" applyAlignment="1">
      <alignment horizontal="center" vertical="center"/>
    </xf>
    <xf numFmtId="3" fontId="4" fillId="0" borderId="7" xfId="0" applyNumberFormat="1" applyFont="1" applyFill="1" applyBorder="1" applyAlignment="1">
      <alignment horizontal="center" vertical="center" wrapText="1"/>
    </xf>
    <xf numFmtId="3" fontId="4" fillId="3" borderId="7" xfId="0" applyNumberFormat="1" applyFont="1" applyFill="1" applyBorder="1" applyAlignment="1">
      <alignment horizontal="center" vertical="center"/>
    </xf>
    <xf numFmtId="1" fontId="6" fillId="3" borderId="7"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165" fontId="6" fillId="3" borderId="7" xfId="0" applyNumberFormat="1" applyFont="1" applyFill="1" applyBorder="1" applyAlignment="1">
      <alignment horizontal="center" vertical="center" wrapText="1"/>
    </xf>
    <xf numFmtId="165" fontId="6" fillId="3" borderId="7" xfId="0" applyNumberFormat="1" applyFont="1" applyFill="1" applyBorder="1" applyAlignment="1">
      <alignment horizontal="center" vertical="center"/>
    </xf>
    <xf numFmtId="165" fontId="6" fillId="0" borderId="7"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xf>
    <xf numFmtId="1" fontId="6" fillId="3" borderId="7" xfId="0" applyNumberFormat="1" applyFont="1" applyFill="1" applyBorder="1" applyAlignment="1">
      <alignment horizontal="center" vertical="center"/>
    </xf>
    <xf numFmtId="166" fontId="6" fillId="3" borderId="7" xfId="0" applyNumberFormat="1" applyFont="1" applyFill="1" applyBorder="1" applyAlignment="1">
      <alignment horizontal="center" vertical="center" wrapText="1"/>
    </xf>
    <xf numFmtId="166" fontId="6" fillId="3" borderId="7" xfId="0" applyNumberFormat="1" applyFont="1" applyFill="1" applyBorder="1" applyAlignment="1">
      <alignment horizontal="center" vertical="center"/>
    </xf>
    <xf numFmtId="166" fontId="6" fillId="0" borderId="7"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6" fillId="0" borderId="7" xfId="0" applyFont="1" applyFill="1" applyBorder="1" applyAlignment="1">
      <alignment horizontal="left" vertical="center" wrapText="1"/>
    </xf>
    <xf numFmtId="0" fontId="8" fillId="0" borderId="7" xfId="0" applyNumberFormat="1" applyFont="1" applyFill="1" applyBorder="1" applyAlignment="1" applyProtection="1">
      <alignment horizontal="center" vertical="center"/>
    </xf>
    <xf numFmtId="165" fontId="8" fillId="0" borderId="7" xfId="0" applyNumberFormat="1" applyFont="1" applyFill="1" applyBorder="1" applyAlignment="1" applyProtection="1">
      <alignment horizontal="center" vertical="center"/>
    </xf>
    <xf numFmtId="0" fontId="6" fillId="0" borderId="7"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0" fontId="29" fillId="0" borderId="7" xfId="0" applyFont="1" applyFill="1" applyBorder="1" applyAlignment="1">
      <alignment horizontal="center" vertical="center" wrapText="1"/>
    </xf>
    <xf numFmtId="3" fontId="29" fillId="0" borderId="7" xfId="0" applyNumberFormat="1" applyFont="1" applyFill="1" applyBorder="1" applyAlignment="1">
      <alignment horizontal="center" vertical="center" wrapText="1"/>
    </xf>
    <xf numFmtId="0" fontId="1" fillId="0" borderId="8"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165" fontId="6" fillId="0" borderId="7" xfId="37" applyNumberFormat="1" applyFont="1" applyFill="1" applyBorder="1" applyAlignment="1">
      <alignment horizontal="center" vertical="center"/>
    </xf>
    <xf numFmtId="0" fontId="8" fillId="0" borderId="7" xfId="0" applyNumberFormat="1" applyFont="1" applyFill="1" applyBorder="1" applyAlignment="1" applyProtection="1">
      <alignment horizontal="center" vertical="center" wrapText="1"/>
    </xf>
    <xf numFmtId="165" fontId="8" fillId="0" borderId="7" xfId="30"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8" fillId="0" borderId="0" xfId="0" applyFont="1" applyFill="1" applyAlignment="1">
      <alignment horizontal="center" wrapText="1"/>
    </xf>
    <xf numFmtId="0" fontId="8" fillId="0" borderId="7" xfId="30" applyFont="1" applyFill="1" applyBorder="1" applyAlignment="1">
      <alignment horizontal="center" vertical="center"/>
    </xf>
    <xf numFmtId="166" fontId="6" fillId="0" borderId="7" xfId="0" applyNumberFormat="1" applyFont="1" applyFill="1" applyBorder="1" applyAlignment="1">
      <alignment horizontal="center" vertical="center"/>
    </xf>
    <xf numFmtId="1" fontId="6" fillId="0" borderId="7" xfId="0" applyNumberFormat="1" applyFont="1" applyFill="1" applyBorder="1" applyAlignment="1">
      <alignment horizontal="center" vertical="center" wrapText="1"/>
    </xf>
    <xf numFmtId="3" fontId="4" fillId="0" borderId="7" xfId="0" applyNumberFormat="1" applyFont="1" applyFill="1" applyBorder="1" applyAlignment="1">
      <alignment horizontal="center" vertical="center"/>
    </xf>
    <xf numFmtId="4" fontId="4" fillId="0" borderId="4" xfId="0"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wrapText="1"/>
    </xf>
    <xf numFmtId="4" fontId="6" fillId="0" borderId="5" xfId="0" applyNumberFormat="1" applyFont="1" applyFill="1" applyBorder="1" applyAlignment="1">
      <alignment horizontal="center" vertical="center" wrapText="1"/>
    </xf>
    <xf numFmtId="4" fontId="6" fillId="0" borderId="6"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xf>
    <xf numFmtId="4" fontId="22" fillId="0" borderId="7" xfId="0" applyNumberFormat="1" applyFont="1" applyFill="1" applyBorder="1" applyAlignment="1">
      <alignment horizontal="center" vertical="center" wrapText="1"/>
    </xf>
    <xf numFmtId="0" fontId="22" fillId="0" borderId="7"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15" xfId="0" applyFont="1" applyFill="1" applyBorder="1" applyAlignment="1">
      <alignment horizontal="center" vertical="center" wrapText="1"/>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27" fillId="0" borderId="7" xfId="0" applyFont="1" applyFill="1" applyBorder="1" applyAlignment="1">
      <alignment horizontal="center" vertical="center"/>
    </xf>
    <xf numFmtId="0" fontId="4" fillId="0" borderId="7"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0" xfId="0" applyFont="1" applyFill="1" applyAlignment="1">
      <alignment horizontal="center" vertical="center" wrapText="1"/>
    </xf>
    <xf numFmtId="3" fontId="29" fillId="5" borderId="7" xfId="0" applyNumberFormat="1" applyFont="1" applyFill="1" applyBorder="1" applyAlignment="1">
      <alignment horizontal="center" vertical="center" wrapText="1"/>
    </xf>
    <xf numFmtId="3" fontId="6" fillId="5" borderId="7" xfId="0" applyNumberFormat="1" applyFont="1" applyFill="1" applyBorder="1" applyAlignment="1">
      <alignment horizontal="center" vertical="center" wrapText="1"/>
    </xf>
    <xf numFmtId="165" fontId="8" fillId="5" borderId="7" xfId="0" applyNumberFormat="1" applyFont="1" applyFill="1" applyBorder="1" applyAlignment="1">
      <alignment horizontal="center" vertical="center"/>
    </xf>
    <xf numFmtId="165" fontId="8" fillId="5" borderId="7" xfId="30" applyNumberFormat="1" applyFont="1" applyFill="1" applyBorder="1" applyAlignment="1">
      <alignment horizontal="center" vertical="center"/>
    </xf>
    <xf numFmtId="165" fontId="6" fillId="5" borderId="7" xfId="37" applyNumberFormat="1" applyFont="1" applyFill="1" applyBorder="1" applyAlignment="1">
      <alignment horizontal="center" vertical="center"/>
    </xf>
    <xf numFmtId="165" fontId="8" fillId="5" borderId="7" xfId="0" applyNumberFormat="1" applyFont="1" applyFill="1" applyBorder="1" applyAlignment="1" applyProtection="1">
      <alignment horizontal="center" vertical="center"/>
    </xf>
    <xf numFmtId="165" fontId="8" fillId="5" borderId="7" xfId="0" applyNumberFormat="1" applyFont="1" applyFill="1" applyBorder="1" applyAlignment="1">
      <alignment horizontal="center" vertical="center"/>
    </xf>
    <xf numFmtId="165" fontId="8" fillId="5" borderId="7" xfId="0" applyNumberFormat="1" applyFont="1" applyFill="1" applyBorder="1" applyAlignment="1" applyProtection="1">
      <alignment horizontal="center" vertical="center"/>
    </xf>
    <xf numFmtId="166" fontId="8" fillId="5" borderId="7" xfId="0" applyNumberFormat="1" applyFont="1" applyFill="1" applyBorder="1" applyAlignment="1">
      <alignment horizontal="center" vertical="center"/>
    </xf>
    <xf numFmtId="0" fontId="6" fillId="5" borderId="7" xfId="0" applyFont="1" applyFill="1" applyBorder="1" applyAlignment="1">
      <alignment horizontal="center" vertical="center" wrapText="1"/>
    </xf>
    <xf numFmtId="1" fontId="6" fillId="5" borderId="7" xfId="0" applyNumberFormat="1" applyFont="1" applyFill="1" applyBorder="1" applyAlignment="1">
      <alignment horizontal="center" vertical="center"/>
    </xf>
    <xf numFmtId="0" fontId="6" fillId="5" borderId="7" xfId="0" applyFont="1" applyFill="1" applyBorder="1" applyAlignment="1">
      <alignment horizontal="center" vertical="center"/>
    </xf>
    <xf numFmtId="3" fontId="6" fillId="5" borderId="7" xfId="0" applyNumberFormat="1" applyFont="1" applyFill="1" applyBorder="1" applyAlignment="1">
      <alignment horizontal="center" vertical="center" wrapText="1"/>
    </xf>
    <xf numFmtId="0" fontId="6" fillId="5" borderId="7" xfId="0" applyFont="1" applyFill="1" applyBorder="1" applyAlignment="1">
      <alignment horizontal="center" vertical="center" wrapText="1"/>
    </xf>
    <xf numFmtId="3" fontId="6" fillId="5" borderId="7" xfId="0" applyNumberFormat="1" applyFont="1" applyFill="1" applyBorder="1" applyAlignment="1">
      <alignment horizontal="center" vertical="center"/>
    </xf>
    <xf numFmtId="166" fontId="6" fillId="5" borderId="7"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166" fontId="4" fillId="5" borderId="7" xfId="0" applyNumberFormat="1" applyFont="1" applyFill="1" applyBorder="1" applyAlignment="1">
      <alignment horizontal="center" vertical="center" wrapText="1"/>
    </xf>
    <xf numFmtId="0" fontId="1" fillId="5" borderId="0" xfId="0" applyFont="1" applyFill="1" applyAlignment="1">
      <alignment horizontal="center" vertical="center" wrapText="1"/>
    </xf>
    <xf numFmtId="3" fontId="28" fillId="5" borderId="0" xfId="0" applyNumberFormat="1" applyFont="1" applyFill="1" applyAlignment="1">
      <alignment horizontal="center" vertical="center" wrapText="1"/>
    </xf>
  </cellXfs>
  <cellStyles count="38">
    <cellStyle name="Comma" xfId="37" builtinId="3"/>
    <cellStyle name="Comma 2" xfId="2"/>
    <cellStyle name="Comma 2 2" xfId="3"/>
    <cellStyle name="Comma 2 3" xfId="4"/>
    <cellStyle name="Comma 2 4" xfId="5"/>
    <cellStyle name="Comma 2 4 2" xfId="6"/>
    <cellStyle name="Comma 2 4 3" xfId="7"/>
    <cellStyle name="Comma 2 5" xfId="8"/>
    <cellStyle name="Comma 2 5 2" xfId="9"/>
    <cellStyle name="Comma 2 5 3" xfId="10"/>
    <cellStyle name="Comma 2 6" xfId="11"/>
    <cellStyle name="Comma 2 7" xfId="12"/>
    <cellStyle name="Comma 3" xfId="13"/>
    <cellStyle name="Comma 3 2" xfId="14"/>
    <cellStyle name="Comma 3 3" xfId="15"/>
    <cellStyle name="Comma 4" xfId="16"/>
    <cellStyle name="Comma 4 2" xfId="17"/>
    <cellStyle name="Comma 4 3" xfId="18"/>
    <cellStyle name="Comma 5" xfId="19"/>
    <cellStyle name="Comma 5 2" xfId="20"/>
    <cellStyle name="Comma 5 3" xfId="21"/>
    <cellStyle name="Comma 6" xfId="22"/>
    <cellStyle name="Comma 6 2" xfId="23"/>
    <cellStyle name="Comma 6 3" xfId="24"/>
    <cellStyle name="Comma 7" xfId="25"/>
    <cellStyle name="Comma 8" xfId="26"/>
    <cellStyle name="Normal" xfId="0" builtinId="0"/>
    <cellStyle name="Normal 2" xfId="27"/>
    <cellStyle name="Normal 2 2" xfId="28"/>
    <cellStyle name="Normal 2 2 2" xfId="29"/>
    <cellStyle name="Normal 3" xfId="30"/>
    <cellStyle name="Normal 3 2" xfId="31"/>
    <cellStyle name="Normal 3 3" xfId="32"/>
    <cellStyle name="Normal 4" xfId="33"/>
    <cellStyle name="Percent" xfId="1" builtinId="5"/>
    <cellStyle name="Percent 2" xfId="34"/>
    <cellStyle name="Percent 2 2" xfId="35"/>
    <cellStyle name="Percent 2 3" xfId="36"/>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GPMB-%20KHOAI%20CHAU\Nhom%20Mo\1.%20Trinh%20TB%20THD\Phuong%20an%20BTHT\PA%20theo%20Q&#272;%20149,153\Ni&#234;m%20y&#7871;t%20&#272;&#7907;t%203%20-%2050%20h&#7897;%2027.3.2026\pa%20xom%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 gia"/>
      <sheetName val="LuuTo 2"/>
      <sheetName val="xom10 (moi)"/>
      <sheetName val="Sheet1"/>
      <sheetName val="PA thẩm định"/>
      <sheetName val="xom10(DK)"/>
      <sheetName val="N.GOC"/>
    </sheetNames>
    <sheetDataSet>
      <sheetData sheetId="0" refreshError="1">
        <row r="1">
          <cell r="B1" t="str">
            <v>Lúa</v>
          </cell>
          <cell r="C1" t="str">
            <v>đồng/m²</v>
          </cell>
          <cell r="D1">
            <v>10000</v>
          </cell>
        </row>
        <row r="2">
          <cell r="B2" t="str">
            <v>Ngô (bắp), cây công nghiệp ngắn ngày (lạc, đậu tương …)</v>
          </cell>
          <cell r="C2" t="str">
            <v>đồng/m²</v>
          </cell>
          <cell r="D2">
            <v>10000</v>
          </cell>
        </row>
        <row r="3">
          <cell r="B3" t="str">
            <v>Cây lấy củ (khoai lang, sắn, khoai môn, khoai sọ…)</v>
          </cell>
          <cell r="C3" t="str">
            <v>đồng/m²</v>
          </cell>
          <cell r="D3">
            <v>10000</v>
          </cell>
        </row>
        <row r="4">
          <cell r="B4" t="str">
            <v>Sắn dây</v>
          </cell>
          <cell r="C4" t="str">
            <v>đồng/m²</v>
          </cell>
          <cell r="D4">
            <v>18700</v>
          </cell>
        </row>
        <row r="5">
          <cell r="B5" t="str">
            <v>Dưa hấu</v>
          </cell>
          <cell r="C5" t="str">
            <v>đồng/m²</v>
          </cell>
          <cell r="D5">
            <v>20000</v>
          </cell>
        </row>
        <row r="6">
          <cell r="B6" t="str">
            <v>Dưa lê</v>
          </cell>
          <cell r="C6" t="str">
            <v>đồng/m²</v>
          </cell>
          <cell r="D6">
            <v>24000</v>
          </cell>
        </row>
        <row r="7">
          <cell r="B7" t="str">
            <v>Dưa vàng</v>
          </cell>
          <cell r="C7" t="str">
            <v>đồng/m²</v>
          </cell>
          <cell r="D7">
            <v>28200</v>
          </cell>
        </row>
        <row r="8">
          <cell r="B8" t="str">
            <v>Dưa lưới</v>
          </cell>
          <cell r="C8" t="str">
            <v>đồng/m²</v>
          </cell>
          <cell r="D8">
            <v>35000</v>
          </cell>
        </row>
        <row r="9">
          <cell r="B9" t="str">
            <v>Dưa bở, dưa gang, dưa chuột</v>
          </cell>
          <cell r="C9" t="str">
            <v>đồng/m²</v>
          </cell>
          <cell r="D9">
            <v>23000</v>
          </cell>
        </row>
        <row r="10">
          <cell r="B10" t="str">
            <v>Cà chua, cà tím, cà bát, cà pháo…</v>
          </cell>
          <cell r="C10" t="str">
            <v>đồng/m²</v>
          </cell>
          <cell r="D10">
            <v>19400</v>
          </cell>
        </row>
        <row r="11">
          <cell r="B11" t="str">
            <v>Bầu, bí, mướp… các loại</v>
          </cell>
          <cell r="C11" t="str">
            <v>đồng/m²</v>
          </cell>
          <cell r="D11">
            <v>12500</v>
          </cell>
        </row>
        <row r="12">
          <cell r="B12" t="str">
            <v>Ớt ngọt</v>
          </cell>
          <cell r="C12" t="str">
            <v>đồng/m²</v>
          </cell>
          <cell r="D12">
            <v>42600</v>
          </cell>
        </row>
        <row r="13">
          <cell r="B13" t="str">
            <v>Su hào, bắp cải, cà rốt</v>
          </cell>
          <cell r="C13" t="str">
            <v>đồng/m²</v>
          </cell>
          <cell r="D13">
            <v>17500</v>
          </cell>
        </row>
        <row r="14">
          <cell r="B14" t="str">
            <v>Tỏi lấy củ</v>
          </cell>
          <cell r="C14" t="str">
            <v>đồng/m²</v>
          </cell>
          <cell r="D14">
            <v>37100</v>
          </cell>
        </row>
        <row r="15">
          <cell r="B15" t="str">
            <v>Tỏi tây</v>
          </cell>
          <cell r="C15" t="str">
            <v>đồng/m²</v>
          </cell>
          <cell r="D15">
            <v>27700</v>
          </cell>
        </row>
        <row r="16">
          <cell r="B16" t="str">
            <v>Hành các loại</v>
          </cell>
          <cell r="C16" t="str">
            <v>đồng/m²</v>
          </cell>
          <cell r="D16">
            <v>24300</v>
          </cell>
        </row>
        <row r="17">
          <cell r="B17" t="str">
            <v>Rau cần tây</v>
          </cell>
          <cell r="C17" t="str">
            <v>đồng/m²</v>
          </cell>
          <cell r="D17">
            <v>22900</v>
          </cell>
        </row>
        <row r="18">
          <cell r="B18" t="str">
            <v>Rau các loại, đậu đỗ các loại</v>
          </cell>
          <cell r="C18" t="str">
            <v>đồng/m²</v>
          </cell>
          <cell r="D18">
            <v>10000</v>
          </cell>
        </row>
        <row r="19">
          <cell r="B19" t="str">
            <v>Các loại rau gia vị</v>
          </cell>
          <cell r="C19" t="str">
            <v>đồng/m²</v>
          </cell>
          <cell r="D19">
            <v>11200</v>
          </cell>
        </row>
        <row r="20">
          <cell r="B20" t="str">
            <v>Các loại cây dược liệu</v>
          </cell>
          <cell r="C20" t="str">
            <v>đồng/m²</v>
          </cell>
          <cell r="D20">
            <v>18500</v>
          </cell>
        </row>
        <row r="22">
          <cell r="B22" t="str">
            <v>Hoa cúc</v>
          </cell>
          <cell r="C22" t="str">
            <v>đồng/m²</v>
          </cell>
          <cell r="D22">
            <v>57200</v>
          </cell>
        </row>
        <row r="23">
          <cell r="B23" t="str">
            <v>Hoa lay ơn</v>
          </cell>
          <cell r="C23" t="str">
            <v>đồng/m²</v>
          </cell>
          <cell r="D23">
            <v>59300</v>
          </cell>
        </row>
        <row r="24">
          <cell r="B24" t="str">
            <v>Hoa cẩm chướng</v>
          </cell>
          <cell r="C24" t="str">
            <v>đồng/m²</v>
          </cell>
          <cell r="D24">
            <v>139300</v>
          </cell>
        </row>
        <row r="25">
          <cell r="B25" t="str">
            <v>Hoa lily</v>
          </cell>
          <cell r="C25" t="str">
            <v>đồng/m²</v>
          </cell>
          <cell r="D25">
            <v>362000</v>
          </cell>
        </row>
        <row r="26">
          <cell r="B26" t="str">
            <v>Hoa loa kèn</v>
          </cell>
          <cell r="C26" t="str">
            <v>đồng/m²</v>
          </cell>
          <cell r="D26">
            <v>98500</v>
          </cell>
        </row>
        <row r="27">
          <cell r="B27" t="str">
            <v>Hoa đồng tiền</v>
          </cell>
          <cell r="C27" t="str">
            <v>đồng/m²</v>
          </cell>
          <cell r="D27">
            <v>76700</v>
          </cell>
        </row>
        <row r="28">
          <cell r="B28" t="str">
            <v>Hoa thạch thảo</v>
          </cell>
          <cell r="C28" t="str">
            <v>đồng/m²</v>
          </cell>
          <cell r="D28">
            <v>94100</v>
          </cell>
        </row>
        <row r="29">
          <cell r="B29" t="str">
            <v>Hoa cát tường</v>
          </cell>
          <cell r="C29" t="str">
            <v>đồng/m²</v>
          </cell>
          <cell r="D29">
            <v>167600</v>
          </cell>
        </row>
        <row r="30">
          <cell r="B30" t="str">
            <v>Hoa hướng dương</v>
          </cell>
          <cell r="C30" t="str">
            <v>đồng/m²</v>
          </cell>
          <cell r="D30">
            <v>17100</v>
          </cell>
        </row>
        <row r="31">
          <cell r="B31" t="str">
            <v>Hoa huệ</v>
          </cell>
          <cell r="C31" t="str">
            <v>đồng/m²</v>
          </cell>
          <cell r="D31">
            <v>49800</v>
          </cell>
        </row>
        <row r="32">
          <cell r="B32" t="str">
            <v>Hoa sen lấy hoa</v>
          </cell>
          <cell r="C32" t="str">
            <v>đồng/m²</v>
          </cell>
          <cell r="D32">
            <v>10800</v>
          </cell>
        </row>
        <row r="33">
          <cell r="B33" t="str">
            <v>Hoa súng</v>
          </cell>
          <cell r="C33" t="str">
            <v>đồng/m²</v>
          </cell>
          <cell r="D33">
            <v>6800</v>
          </cell>
        </row>
        <row r="35">
          <cell r="B35" t="str">
            <v>Cỏ voi</v>
          </cell>
          <cell r="C35" t="str">
            <v>đồng/m²</v>
          </cell>
          <cell r="D35">
            <v>5500</v>
          </cell>
        </row>
        <row r="36">
          <cell r="B36" t="str">
            <v>Nấm rơm</v>
          </cell>
          <cell r="C36" t="str">
            <v>đồng/m²</v>
          </cell>
          <cell r="D36">
            <v>92100</v>
          </cell>
        </row>
        <row r="37">
          <cell r="B37" t="str">
            <v>Nấm mỡ</v>
          </cell>
          <cell r="C37" t="str">
            <v>đồng/m²</v>
          </cell>
          <cell r="D37">
            <v>106700</v>
          </cell>
        </row>
        <row r="40">
          <cell r="B40" t="str">
            <v>Cây nhãn (vải) ĐK thân ≤ 5 cm</v>
          </cell>
          <cell r="C40" t="str">
            <v>đồng/m²</v>
          </cell>
          <cell r="D40">
            <v>370000</v>
          </cell>
        </row>
        <row r="41">
          <cell r="B41" t="str">
            <v>Cây nhãn (vải) ĐK thân ≤ 5 cm</v>
          </cell>
          <cell r="C41" t="str">
            <v>đồng/cây</v>
          </cell>
          <cell r="D41">
            <v>370000</v>
          </cell>
        </row>
        <row r="42">
          <cell r="B42" t="str">
            <v>Cây nhãn (vải) 5cm ≤ ĐK gốc &lt;7cm</v>
          </cell>
          <cell r="C42" t="str">
            <v>đồng/cây</v>
          </cell>
          <cell r="D42">
            <v>1125000</v>
          </cell>
        </row>
        <row r="43">
          <cell r="B43" t="str">
            <v>Cây nhãn (vải) 7cm ≤ ĐK gốc &lt;12cm</v>
          </cell>
          <cell r="C43" t="str">
            <v>đồng/cây</v>
          </cell>
          <cell r="D43">
            <v>2700000</v>
          </cell>
        </row>
        <row r="44">
          <cell r="B44" t="str">
            <v>Cây nhãn (vải) 12cm ≤ Đk gốc &lt;20cm</v>
          </cell>
          <cell r="C44" t="str">
            <v>đồng/cây</v>
          </cell>
          <cell r="D44">
            <v>3750000</v>
          </cell>
        </row>
        <row r="45">
          <cell r="B45" t="str">
            <v>Cây nhãn (vải) 20cm ≤ Đk gốc &lt;30cm</v>
          </cell>
          <cell r="C45" t="str">
            <v>đồng/cây</v>
          </cell>
          <cell r="D45">
            <v>3850000</v>
          </cell>
        </row>
        <row r="46">
          <cell r="B46" t="str">
            <v>Cây nhãn (vải) ĐK gốc từ 30 cm trở lên</v>
          </cell>
          <cell r="C46" t="str">
            <v>đồng/cây</v>
          </cell>
          <cell r="D46">
            <v>4500000</v>
          </cell>
        </row>
        <row r="48">
          <cell r="B48" t="str">
            <v>Cây bưởi (bòng) giống</v>
          </cell>
          <cell r="C48" t="str">
            <v>đồng/m²</v>
          </cell>
          <cell r="D48">
            <v>110000</v>
          </cell>
        </row>
        <row r="49">
          <cell r="B49" t="str">
            <v>Cây bưởi (bòng)ĐK gốc 2cm ≤ Φ &lt;7cm</v>
          </cell>
          <cell r="C49" t="str">
            <v>đồng/cây</v>
          </cell>
          <cell r="D49">
            <v>330000</v>
          </cell>
        </row>
        <row r="50">
          <cell r="B50" t="str">
            <v>Cây bưởi (bòng)ĐK gốc 7cm ≤ Φ &lt;12cm</v>
          </cell>
          <cell r="C50" t="str">
            <v>đồng/cây</v>
          </cell>
          <cell r="D50">
            <v>1380000</v>
          </cell>
        </row>
        <row r="51">
          <cell r="B51" t="str">
            <v>Cây bưởi (bòng)ĐK gốc 12cm ≤ Φ &lt;20cm</v>
          </cell>
          <cell r="C51" t="str">
            <v>đồng/cây</v>
          </cell>
          <cell r="D51">
            <v>1920000</v>
          </cell>
        </row>
        <row r="52">
          <cell r="B52" t="str">
            <v>Cây bưởi (bòng)ĐK gốc từ 20 cm trở lên</v>
          </cell>
          <cell r="C52" t="str">
            <v>đồng/cây</v>
          </cell>
          <cell r="D52">
            <v>2200000</v>
          </cell>
        </row>
        <row r="54">
          <cell r="B54" t="str">
            <v>Cây cam giống</v>
          </cell>
          <cell r="C54" t="str">
            <v>đồng/m²</v>
          </cell>
          <cell r="D54">
            <v>100000</v>
          </cell>
        </row>
        <row r="55">
          <cell r="B55" t="str">
            <v>Cây cam ĐK gốc 2cm ≤ Φ &lt;7cm</v>
          </cell>
          <cell r="C55" t="str">
            <v>đồng/cây</v>
          </cell>
          <cell r="D55">
            <v>300000</v>
          </cell>
        </row>
        <row r="56">
          <cell r="B56" t="str">
            <v>Cây cam ĐK gốc 7cm ≤ Φ &lt;12cm</v>
          </cell>
          <cell r="C56" t="str">
            <v>đồng/cây</v>
          </cell>
          <cell r="D56">
            <v>1500000</v>
          </cell>
        </row>
        <row r="57">
          <cell r="B57" t="str">
            <v>Cây cam ĐK gốc 12cm ≤ Φ &lt;20cm</v>
          </cell>
          <cell r="C57" t="str">
            <v>đồng/cây</v>
          </cell>
          <cell r="D57">
            <v>2000000</v>
          </cell>
        </row>
        <row r="58">
          <cell r="B58" t="str">
            <v>Cây cam ĐK gốc từ 20 cm trở lên</v>
          </cell>
          <cell r="C58" t="str">
            <v>đồng/cây</v>
          </cell>
          <cell r="D58">
            <v>2500000</v>
          </cell>
        </row>
        <row r="60">
          <cell r="B60" t="str">
            <v>Cây chuối ĐK gốc &lt; 10cm</v>
          </cell>
          <cell r="C60" t="str">
            <v>đồng/cây</v>
          </cell>
          <cell r="D60">
            <v>30000</v>
          </cell>
        </row>
        <row r="61">
          <cell r="B61" t="str">
            <v>Cây chuối ĐK gốc ≥ 10cm</v>
          </cell>
          <cell r="C61" t="str">
            <v>đồng/cây</v>
          </cell>
          <cell r="D61">
            <v>60000</v>
          </cell>
        </row>
        <row r="63">
          <cell r="B63" t="str">
            <v>Cây ổi giống</v>
          </cell>
          <cell r="C63" t="str">
            <v>đồng/m²</v>
          </cell>
          <cell r="D63">
            <v>70000</v>
          </cell>
        </row>
        <row r="64">
          <cell r="B64" t="str">
            <v>Cây ổi ĐK gốc 2cm ≤ Φ &lt;7cm</v>
          </cell>
          <cell r="C64" t="str">
            <v>đồng/cây</v>
          </cell>
          <cell r="D64">
            <v>200000</v>
          </cell>
        </row>
        <row r="65">
          <cell r="B65" t="str">
            <v>Cây ổi ĐK gốc 7cm ≤ Φ &lt;12cm</v>
          </cell>
          <cell r="C65" t="str">
            <v>đồng/cây</v>
          </cell>
          <cell r="D65">
            <v>500000</v>
          </cell>
        </row>
        <row r="66">
          <cell r="B66" t="str">
            <v>Cây ổi ĐK gốc 12cm ≤ Φ &lt;20cm</v>
          </cell>
          <cell r="C66" t="str">
            <v>đồng/cây</v>
          </cell>
          <cell r="D66">
            <v>600000</v>
          </cell>
        </row>
        <row r="67">
          <cell r="B67" t="str">
            <v>Cây ổi ĐK gốc 20cm ≤ Φ &lt;30cm</v>
          </cell>
          <cell r="C67" t="str">
            <v>đồng/cây</v>
          </cell>
          <cell r="D67">
            <v>800000</v>
          </cell>
        </row>
        <row r="68">
          <cell r="B68" t="str">
            <v>Cây ổi ĐK gốc từ 30 cm trở lên</v>
          </cell>
          <cell r="C68" t="str">
            <v>đồng/cây</v>
          </cell>
          <cell r="D68">
            <v>1000000</v>
          </cell>
        </row>
        <row r="70">
          <cell r="B70" t="str">
            <v>Cây mít, cây chay, cây hồng xiêm, cây vú sữa, cây khế , cây chay, cây hồng xiêm, cây vú sữa, cây khế giống</v>
          </cell>
          <cell r="C70" t="str">
            <v>đồng/m²</v>
          </cell>
          <cell r="D70">
            <v>100000</v>
          </cell>
        </row>
        <row r="71">
          <cell r="B71" t="str">
            <v>Cây mít, cây chay, cây hồng xiêm, cây vú sữa, cây khế  2cm ≤ ĐK gốc &lt;7cm</v>
          </cell>
          <cell r="C71" t="str">
            <v>đồng/cây</v>
          </cell>
          <cell r="D71">
            <v>220000</v>
          </cell>
        </row>
        <row r="72">
          <cell r="B72" t="str">
            <v>Cây mít, cây chay, cây hồng xiêm, cây vú sữa, cây khế  7cm ≤ Đk gốc &lt;12cm</v>
          </cell>
          <cell r="C72" t="str">
            <v>đồng/cây</v>
          </cell>
          <cell r="D72">
            <v>370000</v>
          </cell>
        </row>
        <row r="73">
          <cell r="B73" t="str">
            <v>Cây mít, cây chay, cây hồng xiêm, cây vú sữa, cây khế  12cm ≤ ĐK gốc &lt;20cm</v>
          </cell>
          <cell r="C73" t="str">
            <v>đồng/cây</v>
          </cell>
          <cell r="D73">
            <v>520000</v>
          </cell>
        </row>
        <row r="74">
          <cell r="B74" t="str">
            <v>Cây mít, cây chay, cây hồng xiêm, cây vú sữa, cây khế  20cm ≤ ĐK gốc &lt;30cm</v>
          </cell>
          <cell r="C74" t="str">
            <v>đồng/cây</v>
          </cell>
          <cell r="D74">
            <v>600000</v>
          </cell>
        </row>
        <row r="75">
          <cell r="B75" t="str">
            <v>Cây mít, cây chay, cây hồng xiêm, cây vú sữa, cây khế  ĐK gốc từ 30 cm trở lên</v>
          </cell>
          <cell r="C75" t="str">
            <v>đồng/cây</v>
          </cell>
          <cell r="D75">
            <v>750000</v>
          </cell>
        </row>
        <row r="77">
          <cell r="B77" t="str">
            <v>Cây chanh, cây quýt, cây quất giống</v>
          </cell>
          <cell r="C77" t="str">
            <v>đồng/m²</v>
          </cell>
          <cell r="D77">
            <v>70000</v>
          </cell>
        </row>
        <row r="78">
          <cell r="B78" t="str">
            <v>Cây chanh, cây quýt, cây quất ĐK gốc 2cm ≤ Φ &lt;7cm</v>
          </cell>
          <cell r="C78" t="str">
            <v>đồng/cây</v>
          </cell>
          <cell r="D78">
            <v>200000</v>
          </cell>
        </row>
        <row r="79">
          <cell r="B79" t="str">
            <v>Cây chanh, cây quýt, cây quất ĐK gốc 7cm ≤ Φ &lt;12cm</v>
          </cell>
          <cell r="C79" t="str">
            <v>đồng/cây</v>
          </cell>
          <cell r="D79">
            <v>500000</v>
          </cell>
        </row>
        <row r="80">
          <cell r="B80" t="str">
            <v>Cây chanh, cây quýt, cây quất ĐK gốc 12cm ≤ Φ &lt;20cm</v>
          </cell>
          <cell r="C80" t="str">
            <v>đồng/cây</v>
          </cell>
          <cell r="D80">
            <v>700000</v>
          </cell>
        </row>
        <row r="81">
          <cell r="B81" t="str">
            <v>Cây chanh, cây quýt, cây quất ĐK gốc từ 20 cm trở lên</v>
          </cell>
          <cell r="C81" t="str">
            <v>đồng/cây</v>
          </cell>
          <cell r="D81">
            <v>1000000</v>
          </cell>
        </row>
        <row r="83">
          <cell r="B83" t="str">
            <v>Cây xoài giống</v>
          </cell>
          <cell r="C83" t="str">
            <v>đồng/m²</v>
          </cell>
          <cell r="D83">
            <v>70000</v>
          </cell>
        </row>
        <row r="84">
          <cell r="B84" t="str">
            <v>Cây xoài 2cm ≤ ĐK gốc &lt;7cm</v>
          </cell>
          <cell r="C84" t="str">
            <v>đồng/cây</v>
          </cell>
          <cell r="D84">
            <v>180000</v>
          </cell>
        </row>
        <row r="85">
          <cell r="B85" t="str">
            <v>Cây xoài 7cm ≤ Đk gốc &lt;12cm</v>
          </cell>
          <cell r="C85" t="str">
            <v>đồng/cây</v>
          </cell>
          <cell r="D85">
            <v>300000</v>
          </cell>
        </row>
        <row r="86">
          <cell r="B86" t="str">
            <v>Cây xoài 12cm ≤ ĐK gốc &lt;20cm</v>
          </cell>
          <cell r="C86" t="str">
            <v>đồng/cây</v>
          </cell>
          <cell r="D86">
            <v>520000</v>
          </cell>
        </row>
        <row r="87">
          <cell r="B87" t="str">
            <v>Cây xoài 20cm ≤ ĐK gốc &lt;30cm</v>
          </cell>
          <cell r="C87" t="str">
            <v>đồng/cây</v>
          </cell>
          <cell r="D87">
            <v>700000</v>
          </cell>
        </row>
        <row r="88">
          <cell r="B88" t="str">
            <v>Cây xoài ĐK gốc từ 30 cm trở lên</v>
          </cell>
          <cell r="C88" t="str">
            <v>đồng/cây</v>
          </cell>
          <cell r="D88">
            <v>1000000</v>
          </cell>
        </row>
        <row r="90">
          <cell r="B90" t="str">
            <v>Cây đu đủ giống</v>
          </cell>
          <cell r="C90" t="str">
            <v>đồng/m²</v>
          </cell>
          <cell r="D90">
            <v>50000</v>
          </cell>
        </row>
        <row r="91">
          <cell r="B91" t="str">
            <v>Cây đu đủ 0,2m ≤ cao &lt;0,5m (chưa có quả)</v>
          </cell>
          <cell r="C91" t="str">
            <v>đồng/cây</v>
          </cell>
          <cell r="D91">
            <v>15000</v>
          </cell>
        </row>
        <row r="92">
          <cell r="B92" t="str">
            <v>Cây đu đủ Cao ≥ 0,5m, chưa có quả</v>
          </cell>
          <cell r="C92" t="str">
            <v>đồng/cây</v>
          </cell>
          <cell r="D92">
            <v>30000</v>
          </cell>
        </row>
        <row r="93">
          <cell r="B93" t="str">
            <v>Cây đu đủ Cao ≥ 0,5m, đang có quả</v>
          </cell>
          <cell r="C93" t="str">
            <v>đồng/cây</v>
          </cell>
          <cell r="D93">
            <v>60000</v>
          </cell>
        </row>
        <row r="95">
          <cell r="B95" t="str">
            <v>Cây thanh long chưa có quả</v>
          </cell>
          <cell r="C95" t="str">
            <v>đồng/khóm; trụ</v>
          </cell>
          <cell r="D95">
            <v>20000</v>
          </cell>
        </row>
        <row r="96">
          <cell r="B96" t="str">
            <v>Cây thanh long Cây đang có quả</v>
          </cell>
          <cell r="C96" t="str">
            <v>đ/khóm;trụ</v>
          </cell>
          <cell r="D96">
            <v>50000</v>
          </cell>
        </row>
        <row r="97">
          <cell r="B97" t="str">
            <v>NA, Táo</v>
          </cell>
        </row>
        <row r="98">
          <cell r="B98" t="str">
            <v>Cây na giống</v>
          </cell>
          <cell r="C98" t="str">
            <v>đồng/m²</v>
          </cell>
          <cell r="D98">
            <v>70000</v>
          </cell>
        </row>
        <row r="99">
          <cell r="B99" t="str">
            <v>Cây na 2cm ≤ ĐK gốc &lt;7cm</v>
          </cell>
          <cell r="C99" t="str">
            <v>đồng/cây</v>
          </cell>
          <cell r="D99">
            <v>130000</v>
          </cell>
        </row>
        <row r="100">
          <cell r="B100" t="str">
            <v>Cây na 7cm ≤ ĐK gốc &lt;12cm</v>
          </cell>
          <cell r="C100" t="str">
            <v>đồng/cây</v>
          </cell>
          <cell r="D100">
            <v>220000</v>
          </cell>
        </row>
        <row r="101">
          <cell r="B101" t="str">
            <v>Cây na 12cm ≤ ĐK gốc &lt;20cm</v>
          </cell>
          <cell r="C101" t="str">
            <v>đồng/cây</v>
          </cell>
          <cell r="D101">
            <v>330000</v>
          </cell>
        </row>
        <row r="102">
          <cell r="B102" t="str">
            <v>Cây na 20cm ≤ ĐK gốc &lt;30cm</v>
          </cell>
          <cell r="C102" t="str">
            <v>đồng/cây</v>
          </cell>
          <cell r="D102">
            <v>360000</v>
          </cell>
        </row>
        <row r="103">
          <cell r="B103" t="str">
            <v>Cây na ĐK gốc từ 30 cm trở lên</v>
          </cell>
          <cell r="C103" t="str">
            <v>đồng/cây</v>
          </cell>
          <cell r="D103">
            <v>500000</v>
          </cell>
        </row>
        <row r="105">
          <cell r="B105" t="str">
            <v>Cây cau giống</v>
          </cell>
          <cell r="C105" t="str">
            <v>đồng/m²</v>
          </cell>
          <cell r="D105">
            <v>60000</v>
          </cell>
        </row>
        <row r="106">
          <cell r="B106" t="str">
            <v>Cây cau ĐK gốc 6cm ≤ Φ &lt;9cm</v>
          </cell>
          <cell r="C106" t="str">
            <v>đồng/cây</v>
          </cell>
          <cell r="D106">
            <v>95000</v>
          </cell>
        </row>
        <row r="107">
          <cell r="B107" t="str">
            <v>Cây cau ĐK gốc 9cm ≤ Φ &lt;12cm</v>
          </cell>
          <cell r="C107" t="str">
            <v>đồng/cây</v>
          </cell>
          <cell r="D107">
            <v>140000</v>
          </cell>
        </row>
        <row r="108">
          <cell r="B108" t="str">
            <v>Cây cau ĐK gốc 12cm ≤ Φ &lt;15cm</v>
          </cell>
          <cell r="C108" t="str">
            <v>đồng/cây</v>
          </cell>
          <cell r="D108">
            <v>190000</v>
          </cell>
        </row>
        <row r="109">
          <cell r="B109" t="str">
            <v>Cây cau ĐK gốc 15cm ≤ Φ &lt;20cm</v>
          </cell>
          <cell r="C109" t="str">
            <v>đồng/cây</v>
          </cell>
          <cell r="D109">
            <v>240000</v>
          </cell>
        </row>
        <row r="110">
          <cell r="B110" t="str">
            <v>Cây cau ĐK gốc 20cm ≤ Φ &lt;25cm</v>
          </cell>
          <cell r="C110" t="str">
            <v>đồng/cây</v>
          </cell>
          <cell r="D110">
            <v>320000</v>
          </cell>
        </row>
        <row r="111">
          <cell r="B111" t="str">
            <v>Cây cau ĐK gốc 25cm ≤ Φ &lt;30cm</v>
          </cell>
          <cell r="C111" t="str">
            <v>đồng/cây</v>
          </cell>
          <cell r="D111">
            <v>330000</v>
          </cell>
        </row>
        <row r="112">
          <cell r="B112" t="str">
            <v>Cây cau ĐK gốc 30cm ≤ Φ &lt;35cm</v>
          </cell>
          <cell r="C112" t="str">
            <v>đồng/cây</v>
          </cell>
          <cell r="D112">
            <v>400000</v>
          </cell>
        </row>
        <row r="113">
          <cell r="B113" t="str">
            <v>Cây cau ĐK gốc từ 35 cm trở lên</v>
          </cell>
          <cell r="C113" t="str">
            <v>đồng/cây</v>
          </cell>
          <cell r="D113">
            <v>430000</v>
          </cell>
        </row>
        <row r="116">
          <cell r="B116" t="str">
            <v>Cây cau vua giống</v>
          </cell>
          <cell r="C116" t="str">
            <v>đồng/m²</v>
          </cell>
          <cell r="D116">
            <v>50000</v>
          </cell>
        </row>
        <row r="117">
          <cell r="B117" t="str">
            <v>Cây cau vua 2cm ≤ ĐK gốc &lt;7cm</v>
          </cell>
          <cell r="C117" t="str">
            <v>đồng/cây</v>
          </cell>
          <cell r="D117">
            <v>75000</v>
          </cell>
        </row>
        <row r="118">
          <cell r="B118" t="str">
            <v>Cây cau vua 7cm ≤ ĐK gốc &lt;12cm</v>
          </cell>
          <cell r="C118" t="str">
            <v>đồng/cây</v>
          </cell>
          <cell r="D118">
            <v>165000</v>
          </cell>
        </row>
        <row r="119">
          <cell r="B119" t="str">
            <v>Cây cau vua 12cm ≤ ĐK gốc &lt;17cm</v>
          </cell>
          <cell r="C119" t="str">
            <v>đồng/cây</v>
          </cell>
          <cell r="D119">
            <v>195000</v>
          </cell>
        </row>
        <row r="120">
          <cell r="B120" t="str">
            <v>Cây cau vua 17cm ≤ ĐK gốc &lt;22cm</v>
          </cell>
          <cell r="C120" t="str">
            <v>đồng/cây</v>
          </cell>
          <cell r="D120">
            <v>260000</v>
          </cell>
        </row>
        <row r="121">
          <cell r="B121" t="str">
            <v>Cây cau vua 22cm ≤ ĐK gốc &lt;27cm</v>
          </cell>
          <cell r="C121" t="str">
            <v>đồng/cây</v>
          </cell>
          <cell r="D121">
            <v>320000</v>
          </cell>
        </row>
        <row r="122">
          <cell r="B122" t="str">
            <v>Cây cau vua 27cm ≤ ĐK gốc &lt;32cm</v>
          </cell>
          <cell r="C122" t="str">
            <v>đồng/cây</v>
          </cell>
          <cell r="D122">
            <v>380000</v>
          </cell>
        </row>
        <row r="123">
          <cell r="B123" t="str">
            <v>Cây cau vua 32cm ≤ ĐK gốc &lt;35cm</v>
          </cell>
          <cell r="C123" t="str">
            <v>đồng/cây</v>
          </cell>
          <cell r="D123">
            <v>450000</v>
          </cell>
        </row>
        <row r="124">
          <cell r="B124" t="str">
            <v>Cây cau vua ĐK gốc từ 35 cm trở lên</v>
          </cell>
          <cell r="C124" t="str">
            <v>đồng/cây</v>
          </cell>
          <cell r="D124">
            <v>480000</v>
          </cell>
        </row>
        <row r="126">
          <cell r="B126" t="str">
            <v>Cây dừa (cau) khác giống</v>
          </cell>
          <cell r="C126" t="str">
            <v>đồng/m²</v>
          </cell>
          <cell r="D126">
            <v>45000</v>
          </cell>
        </row>
        <row r="127">
          <cell r="B127" t="str">
            <v>Cây dừa (cau) khác 2cm ≤ ĐK gốc &lt;7cm</v>
          </cell>
          <cell r="C127" t="str">
            <v>đồng/cây</v>
          </cell>
          <cell r="D127">
            <v>55000</v>
          </cell>
        </row>
        <row r="128">
          <cell r="B128" t="str">
            <v>Cây dừa (cau) khác 7cm ≤ ĐK gốc &lt;12cm</v>
          </cell>
          <cell r="C128" t="str">
            <v>đồng/cây</v>
          </cell>
          <cell r="D128">
            <v>120000</v>
          </cell>
        </row>
        <row r="129">
          <cell r="B129" t="str">
            <v>Cây dừa (cau) khác 12cm ≤ ĐK gốc &lt;17cm</v>
          </cell>
          <cell r="C129" t="str">
            <v>đồng/cây</v>
          </cell>
          <cell r="D129">
            <v>145000</v>
          </cell>
        </row>
        <row r="130">
          <cell r="B130" t="str">
            <v>Cây dừa (cau) khác 17cm ≤ ĐK gốc &lt;22cm</v>
          </cell>
          <cell r="C130" t="str">
            <v>đồng/cây</v>
          </cell>
          <cell r="D130">
            <v>190000</v>
          </cell>
        </row>
        <row r="131">
          <cell r="B131" t="str">
            <v>Cây dừa (cau) khác 22cm ≤ ĐK gốc &lt;27cm</v>
          </cell>
          <cell r="C131" t="str">
            <v>đồng/cây</v>
          </cell>
          <cell r="D131">
            <v>250000</v>
          </cell>
        </row>
        <row r="132">
          <cell r="B132" t="str">
            <v>Cây dừa (cau) khác 27cm ≤ ĐK gốc &lt;32cm</v>
          </cell>
          <cell r="C132" t="str">
            <v>đồng/cây</v>
          </cell>
          <cell r="D132">
            <v>320000</v>
          </cell>
        </row>
        <row r="133">
          <cell r="B133" t="str">
            <v>Cây dừa (cau) khác 32cm ≤ ĐK gốc &lt;35cm</v>
          </cell>
          <cell r="C133" t="str">
            <v>đồng/cây</v>
          </cell>
          <cell r="D133">
            <v>380000</v>
          </cell>
        </row>
        <row r="134">
          <cell r="B134" t="str">
            <v>Cây dừa (cau) khác ĐK gốc từ 35 cm trở lên</v>
          </cell>
          <cell r="C134" t="str">
            <v>đồng/cây</v>
          </cell>
          <cell r="D134">
            <v>400000</v>
          </cell>
        </row>
        <row r="136">
          <cell r="B136" t="str">
            <v>Cây hoa sữa, bàng, phượng vĩ, gạo giống</v>
          </cell>
          <cell r="C136" t="str">
            <v>đồng/m²</v>
          </cell>
          <cell r="D136">
            <v>36000</v>
          </cell>
        </row>
        <row r="137">
          <cell r="B137" t="str">
            <v>Cây hoa sữa, bàng, phượng vĩ, gạo ĐK gốc &lt;5cm</v>
          </cell>
          <cell r="C137" t="str">
            <v>đồng/cây</v>
          </cell>
          <cell r="D137">
            <v>36000</v>
          </cell>
        </row>
        <row r="138">
          <cell r="B138" t="str">
            <v>Cây hoa sữa, bàng, phượng vĩ, gạo 5cm ≤ ĐK gốc &lt;10cm</v>
          </cell>
          <cell r="C138" t="str">
            <v>đồng/cây</v>
          </cell>
          <cell r="D138">
            <v>60000</v>
          </cell>
        </row>
        <row r="139">
          <cell r="B139" t="str">
            <v>Cây hoa sữa, bàng, phượng vĩ, gạo 10cm ≤ ĐK gốc &lt;13cm</v>
          </cell>
          <cell r="C139" t="str">
            <v>đồng/cây</v>
          </cell>
          <cell r="D139">
            <v>85000</v>
          </cell>
        </row>
        <row r="140">
          <cell r="B140" t="str">
            <v>Cây hoa sữa, bàng, phượng vĩ, gạo 13cm ≤ ĐK gốc &lt;20cm</v>
          </cell>
          <cell r="C140" t="str">
            <v>đồng/cây</v>
          </cell>
          <cell r="D140">
            <v>110000</v>
          </cell>
        </row>
        <row r="141">
          <cell r="B141" t="str">
            <v>Cây hoa sữa, bàng, phượng vĩ, gạo 20cm ≤ ĐK gốc &lt;40cm</v>
          </cell>
          <cell r="C141" t="str">
            <v>đồng/cây</v>
          </cell>
          <cell r="D141">
            <v>150000</v>
          </cell>
        </row>
        <row r="142">
          <cell r="B142" t="str">
            <v>Cây hoa sữa, bàng, phượng vĩ, gạo Đường kính gốc từ 40cm trở lên</v>
          </cell>
          <cell r="C142" t="str">
            <v>đồng/cây</v>
          </cell>
          <cell r="D142">
            <v>220000</v>
          </cell>
        </row>
        <row r="144">
          <cell r="B144" t="str">
            <v>Cây trứng cá giống</v>
          </cell>
          <cell r="C144" t="str">
            <v>đồng/m²</v>
          </cell>
          <cell r="D144">
            <v>45000</v>
          </cell>
        </row>
        <row r="145">
          <cell r="B145" t="str">
            <v>Cây trứng cá ĐK gốc &lt;5cm</v>
          </cell>
          <cell r="C145" t="str">
            <v>đồng/cây</v>
          </cell>
          <cell r="D145">
            <v>45000</v>
          </cell>
        </row>
        <row r="146">
          <cell r="B146" t="str">
            <v>Cây trứng cá 5cm ≤ ĐK gốc &lt;10cm</v>
          </cell>
          <cell r="C146" t="str">
            <v>đồng/cây</v>
          </cell>
          <cell r="D146">
            <v>75000</v>
          </cell>
        </row>
        <row r="147">
          <cell r="B147" t="str">
            <v>Cây trứng cá 10cm ≤ ĐK gốc &lt;13cm</v>
          </cell>
          <cell r="C147" t="str">
            <v>đồng/cây</v>
          </cell>
          <cell r="D147">
            <v>105000</v>
          </cell>
        </row>
        <row r="148">
          <cell r="B148" t="str">
            <v>Cây trứng cá 13cm ≤ ĐK gốc &lt;20cm</v>
          </cell>
          <cell r="C148" t="str">
            <v>đồng/cây</v>
          </cell>
          <cell r="D148">
            <v>135000</v>
          </cell>
        </row>
        <row r="149">
          <cell r="B149" t="str">
            <v>Cây trứng cá 20cm ≤ ĐK gốc &lt;40cm</v>
          </cell>
          <cell r="C149" t="str">
            <v>đồng/cây</v>
          </cell>
          <cell r="D149">
            <v>200000</v>
          </cell>
        </row>
        <row r="150">
          <cell r="B150" t="str">
            <v>Cây trứng cá Đường kính gốc từ 40cm trở lên</v>
          </cell>
          <cell r="C150" t="str">
            <v>đồng/cây</v>
          </cell>
          <cell r="D150">
            <v>220000</v>
          </cell>
        </row>
        <row r="152">
          <cell r="B152" t="str">
            <v>Cây bằng lăng, liễu, dâu da xoan, tường vi, lựu giống</v>
          </cell>
          <cell r="C152" t="str">
            <v>đồng/m²</v>
          </cell>
          <cell r="D152">
            <v>33000</v>
          </cell>
        </row>
        <row r="153">
          <cell r="B153" t="str">
            <v>Cây bằng lăng, liễu, dâu da xoan, tường vi, lựu ĐK gốc &lt;5cm</v>
          </cell>
          <cell r="C153" t="str">
            <v>đồng/cây</v>
          </cell>
          <cell r="D153">
            <v>33000</v>
          </cell>
        </row>
        <row r="154">
          <cell r="B154" t="str">
            <v>Cây bằng lăng, liễu, dâu da xoan, tường vi, lựu 5cm ≤ ĐK gốc &lt;10cm</v>
          </cell>
          <cell r="C154" t="str">
            <v>đồng/cây</v>
          </cell>
          <cell r="D154">
            <v>55000</v>
          </cell>
        </row>
        <row r="155">
          <cell r="B155" t="str">
            <v>Cây bằng lăng, liễu, dâu da xoan, tường vi, lựu 10cm ≤ ĐK gốc &lt;13cm</v>
          </cell>
          <cell r="C155" t="str">
            <v>đồng/cây</v>
          </cell>
          <cell r="D155">
            <v>80000</v>
          </cell>
        </row>
        <row r="156">
          <cell r="B156" t="str">
            <v>Cây bằng lăng, liễu, dâu da xoan, tường vi, lựu 13cm ≤ ĐK gốc &lt;20cm</v>
          </cell>
          <cell r="C156" t="str">
            <v>đồng/cây</v>
          </cell>
          <cell r="D156">
            <v>100000</v>
          </cell>
        </row>
        <row r="157">
          <cell r="B157" t="str">
            <v>Cây bằng lăng, liễu, dâu da xoan, tường vi, lựu 20cm ≤ ĐK gốc &lt;40cm</v>
          </cell>
          <cell r="C157" t="str">
            <v>đồng/cây</v>
          </cell>
          <cell r="D157">
            <v>200000</v>
          </cell>
        </row>
        <row r="158">
          <cell r="B158" t="str">
            <v>Cây bằng lăng, liễu, dâu da xoan, tường vi, lựu Đường kính gốc từ 40cm trở lên</v>
          </cell>
          <cell r="C158" t="str">
            <v>đồng/cây</v>
          </cell>
          <cell r="D158">
            <v>220000</v>
          </cell>
        </row>
        <row r="160">
          <cell r="B160" t="str">
            <v>Cây lộc vừng, đào tiên ĐK gốc &lt;5cm</v>
          </cell>
          <cell r="C160" t="str">
            <v>đồng/cây</v>
          </cell>
          <cell r="D160">
            <v>85000</v>
          </cell>
        </row>
        <row r="161">
          <cell r="B161" t="str">
            <v>Cây lộc vừng, đào tiên 5cm ≤ ĐK gốc &lt;7cm</v>
          </cell>
          <cell r="C161" t="str">
            <v>đồng/cây</v>
          </cell>
          <cell r="D161">
            <v>110000</v>
          </cell>
        </row>
        <row r="162">
          <cell r="B162" t="str">
            <v>Cây lộc vừng, đào tiên 7cm ≤ ĐK gốc &lt;10cm</v>
          </cell>
          <cell r="C162" t="str">
            <v>đồng/cây</v>
          </cell>
          <cell r="D162">
            <v>180000</v>
          </cell>
        </row>
        <row r="163">
          <cell r="B163" t="str">
            <v>Cây lộc vừng, đào tiên 10cm ≤ ĐK gốc &lt;15cm</v>
          </cell>
          <cell r="C163" t="str">
            <v>đồng/cây</v>
          </cell>
          <cell r="D163">
            <v>320000</v>
          </cell>
        </row>
        <row r="164">
          <cell r="B164" t="str">
            <v>Cây lộc vừng, đào tiên ĐK gốc từ 15 cm trở lên</v>
          </cell>
          <cell r="C164" t="str">
            <v>đồng/cây</v>
          </cell>
          <cell r="D164">
            <v>420000</v>
          </cell>
        </row>
        <row r="166">
          <cell r="B166" t="str">
            <v>Cây đa, đa lan, ngọc lan, hoa ban, vàng anh, muồng hoàng yến (osaka, bò cạp vàng,...) ĐK gốc &lt;5cm</v>
          </cell>
          <cell r="C166" t="str">
            <v>đồng/cây</v>
          </cell>
          <cell r="D166">
            <v>80000</v>
          </cell>
        </row>
        <row r="167">
          <cell r="B167" t="str">
            <v>Cây đa, đa lan, ngọc lan, hoa ban, vàng anh, muồng hoàng yến (osaka, bò cạp vàng,...) 5cm ≤ ĐK gốc &lt;7cm</v>
          </cell>
          <cell r="C167" t="str">
            <v>đồng/cây</v>
          </cell>
          <cell r="D167">
            <v>100000</v>
          </cell>
        </row>
        <row r="168">
          <cell r="B168" t="str">
            <v>Cây đa, đa lan, ngọc lan, hoa ban, vàng anh, muồng hoàng yến (osaka, bò cạp vàng,...) 7cm ≤ ĐK gốc &lt;10cm</v>
          </cell>
          <cell r="C168" t="str">
            <v>đồng/cây</v>
          </cell>
          <cell r="D168">
            <v>160000</v>
          </cell>
        </row>
        <row r="169">
          <cell r="B169" t="str">
            <v>Cây đa, đa lan, ngọc lan, hoa ban, vàng anh, muồng hoàng yến (osaka, bò cạp vàng,...) 10cm ≤ ĐK gốc &lt;15cm</v>
          </cell>
          <cell r="C169" t="str">
            <v>đồng/cây</v>
          </cell>
          <cell r="D169">
            <v>280000</v>
          </cell>
        </row>
        <row r="170">
          <cell r="B170" t="str">
            <v>Cây đa, đa lan, ngọc lan, hoa ban, vàng anh, muồng hoàng yến (osaka, bò cạp vàng,...) 15cm ≤ ĐK gốc &lt;20cm</v>
          </cell>
          <cell r="C170" t="str">
            <v>đồng/cây</v>
          </cell>
          <cell r="D170">
            <v>400000</v>
          </cell>
        </row>
        <row r="171">
          <cell r="B171" t="str">
            <v>Cây đa, đa lan, ngọc lan, hoa ban, vàng anh, muồng hoàng yến (osaka, bò cạp vàng,...) ĐK gốc từ 20 cm trở lên</v>
          </cell>
          <cell r="C171" t="str">
            <v>đồng/cây</v>
          </cell>
          <cell r="D171">
            <v>520000</v>
          </cell>
        </row>
        <row r="173">
          <cell r="B173" t="str">
            <v>Cây sanh, si, vạn tuế, tùng 3cm ≤ ĐK gốc &lt;5cm</v>
          </cell>
          <cell r="C173" t="str">
            <v>đồng/cây</v>
          </cell>
          <cell r="D173">
            <v>70000</v>
          </cell>
        </row>
        <row r="174">
          <cell r="B174" t="str">
            <v>Cây sanh, si, vạn tuế, tùng 5cm ≤ ĐK gốc &lt;7cm</v>
          </cell>
          <cell r="C174" t="str">
            <v>đồng/cây</v>
          </cell>
          <cell r="D174">
            <v>90000</v>
          </cell>
        </row>
        <row r="175">
          <cell r="B175" t="str">
            <v>Cây sanh, si, vạn tuế, tùng 7cm ≤ ĐK gốc &lt;10cm</v>
          </cell>
          <cell r="C175" t="str">
            <v>đồng/cây</v>
          </cell>
          <cell r="D175">
            <v>120000</v>
          </cell>
        </row>
        <row r="176">
          <cell r="B176" t="str">
            <v>Cây sanh, si, vạn tuế, tùng 10cm ≤ ĐK gốc &lt;15cm</v>
          </cell>
          <cell r="C176" t="str">
            <v>đồng/cây</v>
          </cell>
          <cell r="D176">
            <v>250000</v>
          </cell>
        </row>
        <row r="177">
          <cell r="B177" t="str">
            <v>Cây sanh, si, vạn tuế, tùng 15cm ≤ ĐK gốc &lt;20cm</v>
          </cell>
          <cell r="C177" t="str">
            <v>đồng/cây</v>
          </cell>
          <cell r="D177">
            <v>300000</v>
          </cell>
        </row>
        <row r="178">
          <cell r="B178" t="str">
            <v>Cây sanh, si, vạn tuế, tùng ĐK gốc từ 20 cm trở lên</v>
          </cell>
          <cell r="C178" t="str">
            <v>đồng/cây</v>
          </cell>
          <cell r="D178">
            <v>350000</v>
          </cell>
        </row>
        <row r="180">
          <cell r="B180" t="str">
            <v>Cây ngâu, nguyệt quế Cây giống</v>
          </cell>
          <cell r="C180" t="str">
            <v>đồng/m²</v>
          </cell>
          <cell r="D180">
            <v>45000</v>
          </cell>
        </row>
        <row r="181">
          <cell r="B181" t="str">
            <v>Cây ngâu, nguyệt quế ĐK gốc &lt;5cm</v>
          </cell>
          <cell r="C181" t="str">
            <v>đồng/cây</v>
          </cell>
          <cell r="D181">
            <v>80000</v>
          </cell>
        </row>
        <row r="182">
          <cell r="B182" t="str">
            <v>Cây ngâu, nguyệt quế 5cm ≤ ĐK gốc &lt;10cm</v>
          </cell>
          <cell r="C182" t="str">
            <v>đồng/cây</v>
          </cell>
          <cell r="D182">
            <v>240000</v>
          </cell>
        </row>
        <row r="183">
          <cell r="B183" t="str">
            <v>Cây ngâu, nguyệt quế 10cm ≤ ĐK gốc &lt;13cm</v>
          </cell>
          <cell r="C183" t="str">
            <v>đồng/cây</v>
          </cell>
          <cell r="D183">
            <v>380000</v>
          </cell>
        </row>
        <row r="184">
          <cell r="B184" t="str">
            <v>Cây ngâu, nguyệt quế 13cm ≤ ĐK gốc &lt;20cm</v>
          </cell>
          <cell r="C184" t="str">
            <v>đồng/cây</v>
          </cell>
          <cell r="D184">
            <v>450000</v>
          </cell>
        </row>
        <row r="185">
          <cell r="B185" t="str">
            <v>Cây ngâu, nguyệt quế ĐK gốc từ 20cm trở lên</v>
          </cell>
          <cell r="C185" t="str">
            <v>đồng/cây</v>
          </cell>
          <cell r="D185">
            <v>650000</v>
          </cell>
        </row>
        <row r="187">
          <cell r="B187" t="str">
            <v>Cây bồ đề, đại giống</v>
          </cell>
          <cell r="C187" t="str">
            <v>đồng/m²</v>
          </cell>
          <cell r="D187">
            <v>50000</v>
          </cell>
        </row>
        <row r="188">
          <cell r="B188" t="str">
            <v>Cây bồ đề, đại 3cm ≤ ĐK gốc &lt;5cm</v>
          </cell>
          <cell r="C188" t="str">
            <v>đồng/cây</v>
          </cell>
          <cell r="D188">
            <v>80000</v>
          </cell>
        </row>
        <row r="189">
          <cell r="B189" t="str">
            <v>Cây bồ đề, đại 5cm ≤ ĐK gốc &lt;7cm</v>
          </cell>
          <cell r="C189" t="str">
            <v>đồng/cây</v>
          </cell>
          <cell r="D189">
            <v>100000</v>
          </cell>
        </row>
        <row r="190">
          <cell r="B190" t="str">
            <v>Cây bồ đề, đại 7cm ≤ ĐK gốc &lt;10cm</v>
          </cell>
          <cell r="C190" t="str">
            <v>đồng/cây</v>
          </cell>
          <cell r="D190">
            <v>130000</v>
          </cell>
        </row>
        <row r="191">
          <cell r="B191" t="str">
            <v>Cây bồ đề, đại 10cm ≤ ĐK gốc &lt;15cm</v>
          </cell>
          <cell r="C191" t="str">
            <v>đồng/cây</v>
          </cell>
          <cell r="D191">
            <v>280000</v>
          </cell>
        </row>
        <row r="192">
          <cell r="B192" t="str">
            <v>Cây bồ đề, đại ĐK gốc từ 15 cm trở lên</v>
          </cell>
          <cell r="C192" t="str">
            <v>đồng/cây</v>
          </cell>
          <cell r="D192">
            <v>400000</v>
          </cell>
        </row>
        <row r="194">
          <cell r="B194" t="str">
            <v>Cây đào, mai, mộc giống</v>
          </cell>
          <cell r="C194" t="str">
            <v>đồng/m²</v>
          </cell>
          <cell r="D194">
            <v>30000</v>
          </cell>
        </row>
        <row r="195">
          <cell r="B195" t="str">
            <v>Cây đào, mai, mộc 2cm ≤ ĐK gốc &lt;5cm</v>
          </cell>
          <cell r="C195" t="str">
            <v>đồng/cây</v>
          </cell>
          <cell r="D195">
            <v>70000</v>
          </cell>
        </row>
        <row r="196">
          <cell r="B196" t="str">
            <v>Cây đào, mai, mộc 5cm ≤ ĐK gốc &lt;7cm</v>
          </cell>
          <cell r="C196" t="str">
            <v>đồng/cây</v>
          </cell>
          <cell r="D196">
            <v>150000</v>
          </cell>
        </row>
        <row r="197">
          <cell r="B197" t="str">
            <v>Cây đào, mai, mộc 7cm ≤ ĐK gốc &lt;10cm</v>
          </cell>
          <cell r="C197" t="str">
            <v>đồng/cây</v>
          </cell>
          <cell r="D197">
            <v>200000</v>
          </cell>
        </row>
        <row r="198">
          <cell r="B198" t="str">
            <v>Cây đào, mai, mộc ĐK gốc từ 10cm trở lên</v>
          </cell>
          <cell r="C198" t="str">
            <v>đồng/cây</v>
          </cell>
          <cell r="D198">
            <v>420000</v>
          </cell>
        </row>
        <row r="200">
          <cell r="B200" t="str">
            <v>Cây đinh lăng ĐK gốc &lt;5cm</v>
          </cell>
          <cell r="C200" t="str">
            <v>đồng/cây</v>
          </cell>
          <cell r="D200">
            <v>30000</v>
          </cell>
        </row>
        <row r="201">
          <cell r="B201" t="str">
            <v>Cây đinh lăng 5cm ≤ ĐK gốc &lt;10cm</v>
          </cell>
          <cell r="C201" t="str">
            <v>đồng/cây</v>
          </cell>
          <cell r="D201">
            <v>60000</v>
          </cell>
        </row>
        <row r="202">
          <cell r="B202" t="str">
            <v>Cây đinh lăng ĐK gốc từ 10cm trở lên</v>
          </cell>
          <cell r="C202" t="str">
            <v>đồng/cây</v>
          </cell>
          <cell r="D202">
            <v>80000</v>
          </cell>
        </row>
        <row r="203">
          <cell r="B203" t="str">
            <v>Giếng khoan</v>
          </cell>
          <cell r="C203" t="str">
            <v>giếng</v>
          </cell>
          <cell r="D203">
            <v>2400000</v>
          </cell>
        </row>
        <row r="204">
          <cell r="B204" t="str">
            <v>NHÓM CÂY TÍNH THEO M2 GIÀN</v>
          </cell>
        </row>
        <row r="205">
          <cell r="B205" t="str">
            <v>Giàn gấc</v>
          </cell>
          <cell r="C205" t="str">
            <v>đồng/m2</v>
          </cell>
          <cell r="D205">
            <v>8000</v>
          </cell>
        </row>
        <row r="206">
          <cell r="B206" t="str">
            <v>Giàn nho</v>
          </cell>
          <cell r="C206" t="str">
            <v>đồng/m2</v>
          </cell>
          <cell r="D206">
            <v>10000</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9"/>
  <sheetViews>
    <sheetView topLeftCell="A55" workbookViewId="0">
      <selection activeCell="H66" sqref="H66"/>
    </sheetView>
  </sheetViews>
  <sheetFormatPr defaultColWidth="9" defaultRowHeight="15"/>
  <cols>
    <col min="1" max="1" width="37.42578125" customWidth="1"/>
    <col min="2" max="2" width="18" customWidth="1"/>
    <col min="3" max="3" width="17.42578125" customWidth="1"/>
    <col min="4" max="4" width="12.42578125" customWidth="1"/>
    <col min="11" max="11" width="26.42578125" customWidth="1"/>
    <col min="12" max="12" width="13.42578125" customWidth="1"/>
    <col min="13" max="13" width="14.140625" customWidth="1"/>
    <col min="14" max="14" width="15" customWidth="1"/>
  </cols>
  <sheetData>
    <row r="1" spans="1:16">
      <c r="A1" s="210" t="s">
        <v>8</v>
      </c>
      <c r="B1" s="210"/>
      <c r="C1" s="210"/>
      <c r="D1" s="210"/>
      <c r="E1" s="210"/>
      <c r="F1" s="210"/>
      <c r="G1" s="210"/>
      <c r="H1" s="210"/>
      <c r="I1" s="210"/>
      <c r="J1" s="210"/>
      <c r="K1" s="210"/>
      <c r="L1" s="210"/>
      <c r="M1" s="210"/>
      <c r="N1" s="210"/>
      <c r="O1" s="210"/>
      <c r="P1" s="210"/>
    </row>
    <row r="2" spans="1:16">
      <c r="A2" s="211"/>
      <c r="B2" s="211"/>
      <c r="C2" s="211"/>
      <c r="D2" s="211"/>
      <c r="E2" s="211"/>
      <c r="F2" s="211"/>
      <c r="G2" s="211"/>
      <c r="H2" s="211"/>
      <c r="I2" s="211"/>
      <c r="J2" s="211"/>
      <c r="K2" s="211"/>
      <c r="L2" s="211"/>
      <c r="M2" s="211"/>
      <c r="N2" s="211"/>
      <c r="O2" s="211"/>
      <c r="P2" s="211"/>
    </row>
    <row r="3" spans="1:16" ht="94.5">
      <c r="A3" s="3" t="s">
        <v>9</v>
      </c>
      <c r="B3" s="3" t="s">
        <v>10</v>
      </c>
      <c r="C3" s="3" t="s">
        <v>11</v>
      </c>
      <c r="D3" s="3" t="s">
        <v>12</v>
      </c>
      <c r="E3" s="3" t="s">
        <v>13</v>
      </c>
      <c r="F3" s="3" t="s">
        <v>14</v>
      </c>
      <c r="G3" s="4" t="s">
        <v>15</v>
      </c>
      <c r="H3" s="4" t="s">
        <v>16</v>
      </c>
      <c r="I3" s="3" t="s">
        <v>17</v>
      </c>
      <c r="J3" s="3" t="s">
        <v>18</v>
      </c>
      <c r="K3" s="3" t="s">
        <v>19</v>
      </c>
      <c r="L3" s="3" t="s">
        <v>20</v>
      </c>
      <c r="M3" s="4" t="s">
        <v>21</v>
      </c>
      <c r="N3" s="8" t="s">
        <v>1</v>
      </c>
      <c r="O3" s="3" t="s">
        <v>22</v>
      </c>
      <c r="P3" s="3" t="s">
        <v>23</v>
      </c>
    </row>
    <row r="4" spans="1:16" ht="30.6" customHeight="1">
      <c r="A4" s="5" t="s">
        <v>24</v>
      </c>
      <c r="B4" s="6" t="s">
        <v>25</v>
      </c>
      <c r="C4" s="6">
        <v>2</v>
      </c>
      <c r="D4" s="6">
        <v>124</v>
      </c>
      <c r="E4" s="6">
        <v>341</v>
      </c>
      <c r="F4" s="6" t="s">
        <v>26</v>
      </c>
      <c r="G4" s="7">
        <v>336</v>
      </c>
      <c r="H4" s="7">
        <v>1009</v>
      </c>
      <c r="I4" s="6">
        <v>3.4</v>
      </c>
      <c r="J4" s="6">
        <v>2</v>
      </c>
      <c r="K4" s="6"/>
      <c r="L4" s="6"/>
      <c r="M4" s="7"/>
      <c r="N4" s="9"/>
      <c r="O4" s="6"/>
      <c r="P4" s="6"/>
    </row>
    <row r="5" spans="1:16" ht="30.6" customHeight="1">
      <c r="A5" s="5" t="s">
        <v>27</v>
      </c>
      <c r="B5" s="6"/>
      <c r="C5" s="6">
        <v>2</v>
      </c>
      <c r="D5" s="6">
        <v>256</v>
      </c>
      <c r="E5" s="6">
        <v>341.8</v>
      </c>
      <c r="F5" s="6" t="s">
        <v>26</v>
      </c>
      <c r="G5" s="7">
        <v>342</v>
      </c>
      <c r="H5" s="7">
        <v>684</v>
      </c>
      <c r="I5" s="6">
        <v>2.2999999999999998</v>
      </c>
      <c r="J5" s="6">
        <v>8</v>
      </c>
      <c r="K5" s="6"/>
      <c r="L5" s="6"/>
      <c r="M5" s="7"/>
      <c r="N5" s="9"/>
      <c r="O5" s="6"/>
      <c r="P5" s="6"/>
    </row>
    <row r="6" spans="1:16" ht="30.6" customHeight="1">
      <c r="A6" s="5" t="s">
        <v>28</v>
      </c>
      <c r="B6" s="6" t="s">
        <v>29</v>
      </c>
      <c r="C6" s="6">
        <v>2</v>
      </c>
      <c r="D6" s="6">
        <v>42</v>
      </c>
      <c r="E6" s="6">
        <v>727.9</v>
      </c>
      <c r="F6" s="6" t="s">
        <v>26</v>
      </c>
      <c r="G6" s="7">
        <v>733</v>
      </c>
      <c r="H6" s="7">
        <v>1770</v>
      </c>
      <c r="I6" s="6">
        <v>6</v>
      </c>
      <c r="J6" s="6">
        <v>15</v>
      </c>
      <c r="K6" s="6"/>
      <c r="L6" s="6"/>
      <c r="M6" s="7"/>
      <c r="N6" s="9"/>
      <c r="O6" s="6"/>
      <c r="P6" s="6"/>
    </row>
    <row r="7" spans="1:16" ht="30.6" customHeight="1">
      <c r="A7" s="5" t="s">
        <v>30</v>
      </c>
      <c r="B7" s="6" t="s">
        <v>31</v>
      </c>
      <c r="C7" s="6">
        <v>2</v>
      </c>
      <c r="D7" s="6">
        <v>228</v>
      </c>
      <c r="E7" s="6">
        <v>496.8</v>
      </c>
      <c r="F7" s="6" t="s">
        <v>26</v>
      </c>
      <c r="G7" s="7">
        <v>489</v>
      </c>
      <c r="H7" s="7">
        <v>800</v>
      </c>
      <c r="I7" s="6">
        <v>2.7</v>
      </c>
      <c r="J7" s="6">
        <v>9</v>
      </c>
      <c r="K7" s="6"/>
      <c r="L7" s="6"/>
      <c r="M7" s="7"/>
      <c r="N7" s="9"/>
      <c r="O7" s="6"/>
      <c r="P7" s="6"/>
    </row>
    <row r="8" spans="1:16" ht="30.6" customHeight="1">
      <c r="A8" s="5" t="s">
        <v>32</v>
      </c>
      <c r="B8" s="6" t="s">
        <v>33</v>
      </c>
      <c r="C8" s="6">
        <v>2</v>
      </c>
      <c r="D8" s="6">
        <v>32</v>
      </c>
      <c r="E8" s="6">
        <v>479.1</v>
      </c>
      <c r="F8" s="6" t="s">
        <v>26</v>
      </c>
      <c r="G8" s="7">
        <v>489</v>
      </c>
      <c r="H8" s="7">
        <v>1296</v>
      </c>
      <c r="I8" s="6">
        <v>4</v>
      </c>
      <c r="J8" s="6">
        <v>10</v>
      </c>
      <c r="K8" s="6"/>
      <c r="L8" s="6"/>
      <c r="M8" s="7"/>
      <c r="N8" s="9"/>
      <c r="O8" s="6"/>
      <c r="P8" s="6"/>
    </row>
    <row r="9" spans="1:16" ht="30.6" customHeight="1">
      <c r="A9" s="5" t="s">
        <v>34</v>
      </c>
      <c r="B9" s="6" t="s">
        <v>31</v>
      </c>
      <c r="C9" s="6">
        <v>2</v>
      </c>
      <c r="D9" s="6">
        <v>242</v>
      </c>
      <c r="E9" s="6">
        <v>618.4</v>
      </c>
      <c r="F9" s="6" t="s">
        <v>26</v>
      </c>
      <c r="G9" s="7">
        <v>616</v>
      </c>
      <c r="H9" s="7">
        <v>1004</v>
      </c>
      <c r="I9" s="6">
        <v>3.4</v>
      </c>
      <c r="J9" s="6">
        <v>9</v>
      </c>
      <c r="K9" s="6"/>
      <c r="L9" s="6"/>
      <c r="M9" s="7"/>
      <c r="N9" s="9"/>
      <c r="O9" s="6"/>
      <c r="P9" s="6"/>
    </row>
    <row r="10" spans="1:16" ht="30.6" customHeight="1">
      <c r="A10" s="5" t="s">
        <v>35</v>
      </c>
      <c r="B10" s="6" t="s">
        <v>31</v>
      </c>
      <c r="C10" s="6">
        <v>2</v>
      </c>
      <c r="D10" s="6">
        <v>135</v>
      </c>
      <c r="E10" s="6">
        <v>469.2</v>
      </c>
      <c r="F10" s="6" t="s">
        <v>26</v>
      </c>
      <c r="G10" s="7">
        <v>460</v>
      </c>
      <c r="H10" s="7">
        <v>923</v>
      </c>
      <c r="I10" s="6">
        <v>3.1</v>
      </c>
      <c r="J10" s="6">
        <v>6</v>
      </c>
      <c r="K10" s="6"/>
      <c r="L10" s="6"/>
      <c r="M10" s="7"/>
      <c r="N10" s="9"/>
      <c r="O10" s="6"/>
      <c r="P10" s="6"/>
    </row>
    <row r="11" spans="1:16" ht="30.6" customHeight="1">
      <c r="A11" s="5" t="s">
        <v>36</v>
      </c>
      <c r="B11" s="6" t="s">
        <v>37</v>
      </c>
      <c r="C11" s="6">
        <v>2</v>
      </c>
      <c r="D11" s="6">
        <v>23</v>
      </c>
      <c r="E11" s="6">
        <v>597.4</v>
      </c>
      <c r="F11" s="6" t="s">
        <v>26</v>
      </c>
      <c r="G11" s="7">
        <v>616</v>
      </c>
      <c r="H11" s="7">
        <v>1578</v>
      </c>
      <c r="I11" s="6">
        <v>5.35</v>
      </c>
      <c r="J11" s="6">
        <v>11</v>
      </c>
      <c r="K11" s="6"/>
      <c r="L11" s="6"/>
      <c r="M11" s="7"/>
      <c r="N11" s="9"/>
      <c r="O11" s="6"/>
      <c r="P11" s="6"/>
    </row>
    <row r="12" spans="1:16" ht="30.6" customHeight="1">
      <c r="A12" s="5" t="s">
        <v>38</v>
      </c>
      <c r="B12" s="6" t="s">
        <v>31</v>
      </c>
      <c r="C12" s="6">
        <v>2</v>
      </c>
      <c r="D12" s="6">
        <v>225</v>
      </c>
      <c r="E12" s="6">
        <v>743.6</v>
      </c>
      <c r="F12" s="6" t="s">
        <v>26</v>
      </c>
      <c r="G12" s="7">
        <v>733</v>
      </c>
      <c r="H12" s="7">
        <v>1199</v>
      </c>
      <c r="I12" s="6">
        <v>4</v>
      </c>
      <c r="J12" s="6">
        <v>9</v>
      </c>
      <c r="K12" s="6"/>
      <c r="L12" s="6"/>
      <c r="M12" s="7"/>
      <c r="N12" s="9"/>
      <c r="O12" s="6"/>
      <c r="P12" s="6"/>
    </row>
    <row r="13" spans="1:16" ht="30.6" customHeight="1">
      <c r="A13" s="5" t="s">
        <v>39</v>
      </c>
      <c r="B13" s="6" t="s">
        <v>40</v>
      </c>
      <c r="C13" s="6">
        <v>2</v>
      </c>
      <c r="D13" s="6">
        <v>113</v>
      </c>
      <c r="E13" s="6">
        <v>617.1</v>
      </c>
      <c r="F13" s="6" t="s">
        <v>26</v>
      </c>
      <c r="G13" s="7">
        <v>616</v>
      </c>
      <c r="H13" s="7">
        <v>1710</v>
      </c>
      <c r="I13" s="6">
        <v>5</v>
      </c>
      <c r="J13" s="6">
        <v>15</v>
      </c>
      <c r="K13" s="6"/>
      <c r="L13" s="6"/>
      <c r="M13" s="7"/>
      <c r="N13" s="9"/>
      <c r="O13" s="6"/>
      <c r="P13" s="6"/>
    </row>
    <row r="14" spans="1:16" ht="30.6" customHeight="1">
      <c r="A14" s="5" t="s">
        <v>41</v>
      </c>
      <c r="B14" s="6" t="s">
        <v>42</v>
      </c>
      <c r="C14" s="6">
        <v>2</v>
      </c>
      <c r="D14" s="6">
        <v>20</v>
      </c>
      <c r="E14" s="6">
        <v>291.60000000000002</v>
      </c>
      <c r="F14" s="6" t="s">
        <v>26</v>
      </c>
      <c r="G14" s="7">
        <v>295</v>
      </c>
      <c r="H14" s="7">
        <v>886</v>
      </c>
      <c r="I14" s="6">
        <v>3</v>
      </c>
      <c r="J14" s="6">
        <v>10</v>
      </c>
      <c r="K14" s="6"/>
      <c r="L14" s="6"/>
      <c r="M14" s="7"/>
      <c r="N14" s="9"/>
      <c r="O14" s="6"/>
      <c r="P14" s="6"/>
    </row>
    <row r="15" spans="1:16" ht="30.6" customHeight="1">
      <c r="A15" s="5" t="s">
        <v>43</v>
      </c>
      <c r="B15" s="6" t="s">
        <v>44</v>
      </c>
      <c r="C15" s="6">
        <v>2</v>
      </c>
      <c r="D15" s="6">
        <v>13</v>
      </c>
      <c r="E15" s="6">
        <v>433.2</v>
      </c>
      <c r="F15" s="6" t="s">
        <v>26</v>
      </c>
      <c r="G15" s="7">
        <v>389</v>
      </c>
      <c r="H15" s="7">
        <v>1368</v>
      </c>
      <c r="I15" s="6">
        <v>4.6399999999999997</v>
      </c>
      <c r="J15" s="6">
        <v>12</v>
      </c>
      <c r="K15" s="6"/>
      <c r="L15" s="6"/>
      <c r="M15" s="7"/>
      <c r="N15" s="9"/>
      <c r="O15" s="6"/>
      <c r="P15" s="6"/>
    </row>
    <row r="16" spans="1:16" ht="30.6" customHeight="1">
      <c r="A16" s="5" t="s">
        <v>45</v>
      </c>
      <c r="B16" s="6" t="s">
        <v>31</v>
      </c>
      <c r="C16" s="6">
        <v>2</v>
      </c>
      <c r="D16" s="6">
        <v>251</v>
      </c>
      <c r="E16" s="6">
        <v>494.7</v>
      </c>
      <c r="F16" s="6" t="s">
        <v>26</v>
      </c>
      <c r="G16" s="7">
        <v>489</v>
      </c>
      <c r="H16" s="7">
        <v>800</v>
      </c>
      <c r="I16" s="6">
        <v>2.7</v>
      </c>
      <c r="J16" s="6">
        <v>3</v>
      </c>
      <c r="K16" s="6"/>
      <c r="L16" s="6"/>
      <c r="M16" s="7"/>
      <c r="N16" s="9"/>
      <c r="O16" s="6"/>
      <c r="P16" s="6"/>
    </row>
    <row r="17" spans="1:16" ht="30.6" customHeight="1">
      <c r="A17" s="5" t="s">
        <v>46</v>
      </c>
      <c r="B17" s="6" t="s">
        <v>31</v>
      </c>
      <c r="C17" s="6">
        <v>2</v>
      </c>
      <c r="D17" s="6">
        <v>133</v>
      </c>
      <c r="E17" s="6">
        <v>298.5</v>
      </c>
      <c r="F17" s="6" t="s">
        <v>26</v>
      </c>
      <c r="G17" s="7">
        <v>295</v>
      </c>
      <c r="H17" s="7">
        <v>590</v>
      </c>
      <c r="I17" s="6">
        <v>2</v>
      </c>
      <c r="J17" s="6">
        <v>2</v>
      </c>
      <c r="K17" s="6"/>
      <c r="L17" s="6"/>
      <c r="M17" s="7"/>
      <c r="N17" s="9"/>
      <c r="O17" s="6"/>
      <c r="P17" s="6"/>
    </row>
    <row r="18" spans="1:16" ht="30.6" customHeight="1">
      <c r="A18" s="5" t="s">
        <v>47</v>
      </c>
      <c r="B18" s="6" t="s">
        <v>31</v>
      </c>
      <c r="C18" s="6">
        <v>2</v>
      </c>
      <c r="D18" s="6">
        <v>173</v>
      </c>
      <c r="E18" s="6">
        <v>744.9</v>
      </c>
      <c r="F18" s="6" t="s">
        <v>26</v>
      </c>
      <c r="G18" s="7">
        <v>738</v>
      </c>
      <c r="H18" s="7">
        <v>1224</v>
      </c>
      <c r="I18" s="6">
        <v>4.0999999999999996</v>
      </c>
      <c r="J18" s="6">
        <v>15</v>
      </c>
      <c r="K18" s="6"/>
      <c r="L18" s="6"/>
      <c r="M18" s="7"/>
      <c r="N18" s="9"/>
      <c r="O18" s="6"/>
      <c r="P18" s="6"/>
    </row>
    <row r="19" spans="1:16" ht="30.6" customHeight="1">
      <c r="A19" s="5" t="s">
        <v>48</v>
      </c>
      <c r="B19" s="6" t="s">
        <v>49</v>
      </c>
      <c r="C19" s="6">
        <v>2</v>
      </c>
      <c r="D19" s="6">
        <v>36</v>
      </c>
      <c r="E19" s="6">
        <v>604.70000000000005</v>
      </c>
      <c r="F19" s="6" t="s">
        <v>26</v>
      </c>
      <c r="G19" s="7">
        <v>616</v>
      </c>
      <c r="H19" s="7">
        <v>1710</v>
      </c>
      <c r="I19" s="6">
        <v>5</v>
      </c>
      <c r="J19" s="6">
        <v>15</v>
      </c>
      <c r="K19" s="6"/>
      <c r="L19" s="6"/>
      <c r="M19" s="7"/>
      <c r="N19" s="9"/>
      <c r="O19" s="6"/>
      <c r="P19" s="6"/>
    </row>
    <row r="20" spans="1:16" ht="30.6" customHeight="1">
      <c r="A20" s="5" t="s">
        <v>50</v>
      </c>
      <c r="B20" s="6" t="s">
        <v>40</v>
      </c>
      <c r="C20" s="6">
        <v>2</v>
      </c>
      <c r="D20" s="6">
        <v>116</v>
      </c>
      <c r="E20" s="6">
        <v>296.60000000000002</v>
      </c>
      <c r="F20" s="6" t="s">
        <v>26</v>
      </c>
      <c r="G20" s="7">
        <v>295</v>
      </c>
      <c r="H20" s="7">
        <v>885</v>
      </c>
      <c r="I20" s="6">
        <v>3</v>
      </c>
      <c r="J20" s="6">
        <v>7</v>
      </c>
      <c r="K20" s="6"/>
      <c r="L20" s="6"/>
      <c r="M20" s="7"/>
      <c r="N20" s="9"/>
      <c r="O20" s="6"/>
      <c r="P20" s="6"/>
    </row>
    <row r="21" spans="1:16" ht="30.6" customHeight="1">
      <c r="A21" s="5" t="s">
        <v>51</v>
      </c>
      <c r="B21" s="6" t="s">
        <v>31</v>
      </c>
      <c r="C21" s="6">
        <v>2</v>
      </c>
      <c r="D21" s="6">
        <v>136</v>
      </c>
      <c r="E21" s="6">
        <v>413.7</v>
      </c>
      <c r="F21" s="6" t="s">
        <v>26</v>
      </c>
      <c r="G21" s="7">
        <v>408</v>
      </c>
      <c r="H21" s="7">
        <v>808</v>
      </c>
      <c r="I21" s="6">
        <v>2.7</v>
      </c>
      <c r="J21" s="6">
        <v>9</v>
      </c>
      <c r="K21" s="6"/>
      <c r="L21" s="6"/>
      <c r="M21" s="7"/>
      <c r="N21" s="9"/>
      <c r="O21" s="6"/>
      <c r="P21" s="6"/>
    </row>
    <row r="22" spans="1:16" ht="30.6" customHeight="1">
      <c r="A22" s="5" t="s">
        <v>52</v>
      </c>
      <c r="B22" s="6"/>
      <c r="C22" s="6">
        <v>2</v>
      </c>
      <c r="D22" s="6">
        <v>141</v>
      </c>
      <c r="E22" s="6">
        <v>615.70000000000005</v>
      </c>
      <c r="F22" s="6" t="s">
        <v>26</v>
      </c>
      <c r="G22" s="7">
        <v>613</v>
      </c>
      <c r="H22" s="7">
        <v>613</v>
      </c>
      <c r="I22" s="6">
        <v>2</v>
      </c>
      <c r="J22" s="6"/>
      <c r="K22" s="6"/>
      <c r="L22" s="6"/>
      <c r="M22" s="7"/>
      <c r="N22" s="9"/>
      <c r="O22" s="6"/>
      <c r="P22" s="6"/>
    </row>
    <row r="23" spans="1:16" ht="30.6" customHeight="1">
      <c r="A23" s="5" t="s">
        <v>53</v>
      </c>
      <c r="B23" s="6" t="s">
        <v>31</v>
      </c>
      <c r="C23" s="6">
        <v>2</v>
      </c>
      <c r="D23" s="6">
        <v>263</v>
      </c>
      <c r="E23" s="6">
        <v>886.1</v>
      </c>
      <c r="F23" s="6" t="s">
        <v>26</v>
      </c>
      <c r="G23" s="7">
        <v>876</v>
      </c>
      <c r="H23" s="7">
        <v>1420</v>
      </c>
      <c r="I23" s="6">
        <v>4.8</v>
      </c>
      <c r="J23" s="6">
        <v>13</v>
      </c>
      <c r="K23" s="6"/>
      <c r="L23" s="6"/>
      <c r="M23" s="7"/>
      <c r="N23" s="9"/>
      <c r="O23" s="6"/>
      <c r="P23" s="6"/>
    </row>
    <row r="24" spans="1:16" ht="30.6" customHeight="1">
      <c r="A24" s="5" t="s">
        <v>54</v>
      </c>
      <c r="B24" s="6" t="s">
        <v>31</v>
      </c>
      <c r="C24" s="6">
        <v>2</v>
      </c>
      <c r="D24" s="6">
        <v>172</v>
      </c>
      <c r="E24" s="6">
        <v>348</v>
      </c>
      <c r="F24" s="6" t="s">
        <v>26</v>
      </c>
      <c r="G24" s="7">
        <v>342</v>
      </c>
      <c r="H24" s="7">
        <v>684</v>
      </c>
      <c r="I24" s="6">
        <v>2.2999999999999998</v>
      </c>
      <c r="J24" s="6">
        <v>2</v>
      </c>
      <c r="K24" s="6"/>
      <c r="L24" s="6"/>
      <c r="M24" s="7"/>
      <c r="N24" s="9"/>
      <c r="O24" s="6"/>
      <c r="P24" s="6"/>
    </row>
    <row r="25" spans="1:16" ht="30.6" customHeight="1">
      <c r="A25" s="5" t="s">
        <v>55</v>
      </c>
      <c r="B25" s="6" t="s">
        <v>31</v>
      </c>
      <c r="C25" s="6">
        <v>2</v>
      </c>
      <c r="D25" s="6">
        <v>238</v>
      </c>
      <c r="E25" s="6">
        <v>885.4</v>
      </c>
      <c r="F25" s="6" t="s">
        <v>26</v>
      </c>
      <c r="G25" s="7">
        <v>876</v>
      </c>
      <c r="H25" s="7">
        <v>1420</v>
      </c>
      <c r="I25" s="6">
        <v>4</v>
      </c>
      <c r="J25" s="6">
        <v>16</v>
      </c>
      <c r="K25" s="6"/>
      <c r="L25" s="6"/>
      <c r="M25" s="7"/>
      <c r="N25" s="9"/>
      <c r="O25" s="6"/>
      <c r="P25" s="6"/>
    </row>
    <row r="26" spans="1:16" ht="30.6" customHeight="1">
      <c r="A26" s="5" t="s">
        <v>56</v>
      </c>
      <c r="B26" s="6" t="s">
        <v>40</v>
      </c>
      <c r="C26" s="6">
        <v>2</v>
      </c>
      <c r="D26" s="6">
        <v>119</v>
      </c>
      <c r="E26" s="6">
        <v>492.5</v>
      </c>
      <c r="F26" s="6" t="s">
        <v>26</v>
      </c>
      <c r="G26" s="7">
        <v>489</v>
      </c>
      <c r="H26" s="7">
        <v>1193</v>
      </c>
      <c r="I26" s="6">
        <v>4</v>
      </c>
      <c r="J26" s="6">
        <v>20</v>
      </c>
      <c r="K26" s="6"/>
      <c r="L26" s="6"/>
      <c r="M26" s="7"/>
      <c r="N26" s="9"/>
      <c r="O26" s="6"/>
      <c r="P26" s="6"/>
    </row>
    <row r="27" spans="1:16" ht="30.6" customHeight="1">
      <c r="A27" s="5" t="s">
        <v>57</v>
      </c>
      <c r="B27" s="6" t="s">
        <v>58</v>
      </c>
      <c r="C27" s="6">
        <v>2</v>
      </c>
      <c r="D27" s="6">
        <v>93</v>
      </c>
      <c r="E27" s="6">
        <v>323.39999999999998</v>
      </c>
      <c r="F27" s="6" t="s">
        <v>26</v>
      </c>
      <c r="G27" s="7">
        <v>323</v>
      </c>
      <c r="H27" s="7">
        <v>971</v>
      </c>
      <c r="I27" s="6">
        <v>3</v>
      </c>
      <c r="J27" s="6">
        <v>7</v>
      </c>
      <c r="K27" s="6"/>
      <c r="L27" s="6"/>
      <c r="M27" s="7"/>
      <c r="N27" s="9"/>
      <c r="O27" s="6"/>
      <c r="P27" s="6"/>
    </row>
    <row r="28" spans="1:16" ht="30.6" customHeight="1">
      <c r="A28" s="5" t="s">
        <v>59</v>
      </c>
      <c r="B28" s="6" t="s">
        <v>60</v>
      </c>
      <c r="C28" s="6">
        <v>2</v>
      </c>
      <c r="D28" s="6">
        <v>38</v>
      </c>
      <c r="E28" s="6">
        <v>609.1</v>
      </c>
      <c r="F28" s="6" t="s">
        <v>26</v>
      </c>
      <c r="G28" s="7">
        <v>616</v>
      </c>
      <c r="H28" s="7">
        <v>1710</v>
      </c>
      <c r="I28" s="6">
        <v>5</v>
      </c>
      <c r="J28" s="6">
        <v>14</v>
      </c>
      <c r="K28" s="6"/>
      <c r="L28" s="6"/>
      <c r="M28" s="7"/>
      <c r="N28" s="9"/>
      <c r="O28" s="6"/>
      <c r="P28" s="6"/>
    </row>
    <row r="29" spans="1:16" ht="30.6" customHeight="1">
      <c r="A29" s="5" t="s">
        <v>61</v>
      </c>
      <c r="B29" s="6" t="s">
        <v>31</v>
      </c>
      <c r="C29" s="6">
        <v>2</v>
      </c>
      <c r="D29" s="6">
        <v>166</v>
      </c>
      <c r="E29" s="6">
        <v>323.2</v>
      </c>
      <c r="F29" s="6" t="s">
        <v>26</v>
      </c>
      <c r="G29" s="7">
        <v>320</v>
      </c>
      <c r="H29" s="7">
        <v>630</v>
      </c>
      <c r="I29" s="6">
        <v>2</v>
      </c>
      <c r="J29" s="6">
        <v>3</v>
      </c>
      <c r="K29" s="6"/>
      <c r="L29" s="6"/>
      <c r="M29" s="7"/>
      <c r="N29" s="9"/>
      <c r="O29" s="6"/>
      <c r="P29" s="6"/>
    </row>
    <row r="30" spans="1:16" ht="30.6" customHeight="1">
      <c r="A30" s="5" t="s">
        <v>62</v>
      </c>
      <c r="B30" s="6" t="s">
        <v>63</v>
      </c>
      <c r="C30" s="6">
        <v>2</v>
      </c>
      <c r="D30" s="6">
        <v>35</v>
      </c>
      <c r="E30" s="6">
        <v>292.39999999999998</v>
      </c>
      <c r="F30" s="6" t="s">
        <v>26</v>
      </c>
      <c r="G30" s="7">
        <v>295</v>
      </c>
      <c r="H30" s="7">
        <v>885</v>
      </c>
      <c r="I30" s="6">
        <v>3</v>
      </c>
      <c r="J30" s="6">
        <v>6</v>
      </c>
      <c r="K30" s="6"/>
      <c r="L30" s="6"/>
      <c r="M30" s="7"/>
      <c r="N30" s="9"/>
      <c r="O30" s="6"/>
      <c r="P30" s="6"/>
    </row>
    <row r="31" spans="1:16" ht="30.6" customHeight="1">
      <c r="A31" s="5" t="s">
        <v>64</v>
      </c>
      <c r="B31" s="6" t="s">
        <v>65</v>
      </c>
      <c r="C31" s="6">
        <v>2</v>
      </c>
      <c r="D31" s="6">
        <v>49</v>
      </c>
      <c r="E31" s="6">
        <v>622.4</v>
      </c>
      <c r="F31" s="6" t="s">
        <v>26</v>
      </c>
      <c r="G31" s="7">
        <v>616</v>
      </c>
      <c r="H31" s="7">
        <v>1663</v>
      </c>
      <c r="I31" s="6">
        <v>5.6</v>
      </c>
      <c r="J31" s="6">
        <v>13</v>
      </c>
      <c r="K31" s="6"/>
      <c r="L31" s="6"/>
      <c r="M31" s="7"/>
      <c r="N31" s="9"/>
      <c r="O31" s="6"/>
      <c r="P31" s="6"/>
    </row>
    <row r="32" spans="1:16" ht="30.6" customHeight="1">
      <c r="A32" s="5" t="s">
        <v>66</v>
      </c>
      <c r="B32" s="6" t="s">
        <v>40</v>
      </c>
      <c r="C32" s="6">
        <v>2</v>
      </c>
      <c r="D32" s="6">
        <v>275</v>
      </c>
      <c r="E32" s="6">
        <v>825.9</v>
      </c>
      <c r="F32" s="6" t="s">
        <v>26</v>
      </c>
      <c r="G32" s="7">
        <v>825</v>
      </c>
      <c r="H32" s="7">
        <v>2065</v>
      </c>
      <c r="I32" s="6">
        <v>7</v>
      </c>
      <c r="J32" s="6">
        <v>24</v>
      </c>
      <c r="K32" s="6"/>
      <c r="L32" s="6"/>
      <c r="M32" s="7"/>
      <c r="N32" s="9"/>
      <c r="O32" s="6"/>
      <c r="P32" s="6"/>
    </row>
    <row r="33" spans="1:16" ht="30.6" customHeight="1">
      <c r="A33" s="5" t="s">
        <v>67</v>
      </c>
      <c r="B33" s="6"/>
      <c r="C33" s="6">
        <v>2</v>
      </c>
      <c r="D33" s="6">
        <v>274</v>
      </c>
      <c r="E33" s="6">
        <v>300.5</v>
      </c>
      <c r="F33" s="6" t="s">
        <v>26</v>
      </c>
      <c r="G33" s="7">
        <v>295</v>
      </c>
      <c r="H33" s="7">
        <v>295</v>
      </c>
      <c r="I33" s="6">
        <v>1</v>
      </c>
      <c r="J33" s="6"/>
      <c r="K33" s="6"/>
      <c r="L33" s="6"/>
      <c r="M33" s="7"/>
      <c r="N33" s="9"/>
      <c r="O33" s="6"/>
      <c r="P33" s="6"/>
    </row>
    <row r="34" spans="1:16" ht="30.6" customHeight="1">
      <c r="A34" s="5" t="s">
        <v>68</v>
      </c>
      <c r="B34" s="6" t="s">
        <v>31</v>
      </c>
      <c r="C34" s="6">
        <v>2</v>
      </c>
      <c r="D34" s="6">
        <v>126</v>
      </c>
      <c r="E34" s="6">
        <v>353.9</v>
      </c>
      <c r="F34" s="6" t="s">
        <v>26</v>
      </c>
      <c r="G34" s="7">
        <v>359</v>
      </c>
      <c r="H34" s="7">
        <v>1077</v>
      </c>
      <c r="I34" s="6">
        <v>3.6</v>
      </c>
      <c r="J34" s="6">
        <v>5</v>
      </c>
      <c r="K34" s="6"/>
      <c r="L34" s="6"/>
      <c r="M34" s="7"/>
      <c r="N34" s="9"/>
      <c r="O34" s="6"/>
      <c r="P34" s="6"/>
    </row>
    <row r="35" spans="1:16" ht="30.6" customHeight="1">
      <c r="A35" s="5" t="s">
        <v>69</v>
      </c>
      <c r="B35" s="6" t="s">
        <v>70</v>
      </c>
      <c r="C35" s="6">
        <v>2</v>
      </c>
      <c r="D35" s="6">
        <v>66</v>
      </c>
      <c r="E35" s="6">
        <v>279.39999999999998</v>
      </c>
      <c r="F35" s="6" t="s">
        <v>26</v>
      </c>
      <c r="G35" s="7">
        <v>295</v>
      </c>
      <c r="H35" s="7">
        <v>885</v>
      </c>
      <c r="I35" s="6">
        <v>3</v>
      </c>
      <c r="J35" s="6">
        <v>7</v>
      </c>
      <c r="K35" s="6"/>
      <c r="L35" s="6"/>
      <c r="M35" s="7"/>
      <c r="N35" s="9"/>
      <c r="O35" s="6"/>
      <c r="P35" s="6"/>
    </row>
    <row r="36" spans="1:16" ht="30.6" customHeight="1">
      <c r="A36" s="5" t="s">
        <v>71</v>
      </c>
      <c r="B36" s="6" t="s">
        <v>72</v>
      </c>
      <c r="C36" s="6">
        <v>2</v>
      </c>
      <c r="D36" s="6">
        <v>73</v>
      </c>
      <c r="E36" s="6">
        <v>483.4</v>
      </c>
      <c r="F36" s="6" t="s">
        <v>26</v>
      </c>
      <c r="G36" s="7">
        <v>489</v>
      </c>
      <c r="H36" s="7">
        <v>1368</v>
      </c>
      <c r="I36" s="6">
        <v>4</v>
      </c>
      <c r="J36" s="6">
        <v>6</v>
      </c>
      <c r="K36" s="6"/>
      <c r="L36" s="6"/>
      <c r="M36" s="7"/>
      <c r="N36" s="9"/>
      <c r="O36" s="6"/>
      <c r="P36" s="6"/>
    </row>
    <row r="37" spans="1:16" ht="30.6" customHeight="1">
      <c r="A37" s="5" t="s">
        <v>73</v>
      </c>
      <c r="B37" s="6"/>
      <c r="C37" s="6">
        <v>2</v>
      </c>
      <c r="D37" s="6">
        <v>187</v>
      </c>
      <c r="E37" s="6">
        <v>304.5</v>
      </c>
      <c r="F37" s="6" t="s">
        <v>26</v>
      </c>
      <c r="G37" s="7">
        <v>295</v>
      </c>
      <c r="H37" s="7">
        <v>590</v>
      </c>
      <c r="I37" s="6">
        <v>2</v>
      </c>
      <c r="J37" s="6">
        <v>6</v>
      </c>
      <c r="K37" s="6"/>
      <c r="L37" s="6"/>
      <c r="M37" s="7"/>
      <c r="N37" s="9"/>
      <c r="O37" s="6"/>
      <c r="P37" s="6"/>
    </row>
    <row r="38" spans="1:16" ht="30.6" customHeight="1">
      <c r="A38" s="5" t="s">
        <v>74</v>
      </c>
      <c r="B38" s="6" t="s">
        <v>31</v>
      </c>
      <c r="C38" s="6">
        <v>2</v>
      </c>
      <c r="D38" s="6">
        <v>183</v>
      </c>
      <c r="E38" s="6">
        <v>629.29999999999995</v>
      </c>
      <c r="F38" s="6" t="s">
        <v>26</v>
      </c>
      <c r="G38" s="7">
        <v>616</v>
      </c>
      <c r="H38" s="7">
        <v>1014</v>
      </c>
      <c r="I38" s="6">
        <v>3.4</v>
      </c>
      <c r="J38" s="6">
        <v>12</v>
      </c>
      <c r="K38" s="6"/>
      <c r="L38" s="6"/>
      <c r="M38" s="7"/>
      <c r="N38" s="9"/>
      <c r="O38" s="6"/>
      <c r="P38" s="6"/>
    </row>
    <row r="39" spans="1:16" ht="30.6" customHeight="1">
      <c r="A39" s="5" t="s">
        <v>75</v>
      </c>
      <c r="B39" s="6" t="s">
        <v>31</v>
      </c>
      <c r="C39" s="6">
        <v>2</v>
      </c>
      <c r="D39" s="6">
        <v>159</v>
      </c>
      <c r="E39" s="6">
        <v>399.6</v>
      </c>
      <c r="F39" s="6" t="s">
        <v>26</v>
      </c>
      <c r="G39" s="7">
        <v>311</v>
      </c>
      <c r="H39" s="7"/>
      <c r="I39" s="6"/>
      <c r="J39" s="6">
        <v>4</v>
      </c>
      <c r="K39" s="6"/>
      <c r="L39" s="6"/>
      <c r="M39" s="7"/>
      <c r="N39" s="9"/>
      <c r="O39" s="6"/>
      <c r="P39" s="6"/>
    </row>
    <row r="40" spans="1:16" ht="30.6" customHeight="1">
      <c r="A40" s="5" t="s">
        <v>76</v>
      </c>
      <c r="B40" s="6" t="s">
        <v>77</v>
      </c>
      <c r="C40" s="6">
        <v>2</v>
      </c>
      <c r="D40" s="6">
        <v>10</v>
      </c>
      <c r="E40" s="6">
        <v>491.6</v>
      </c>
      <c r="F40" s="6" t="s">
        <v>26</v>
      </c>
      <c r="G40" s="7">
        <v>489</v>
      </c>
      <c r="H40" s="7">
        <v>1277</v>
      </c>
      <c r="I40" s="6">
        <v>4.3</v>
      </c>
      <c r="J40" s="6">
        <v>11</v>
      </c>
      <c r="K40" s="6"/>
      <c r="L40" s="6"/>
      <c r="M40" s="7"/>
      <c r="N40" s="9"/>
      <c r="O40" s="6"/>
      <c r="P40" s="6"/>
    </row>
    <row r="41" spans="1:16" ht="30.6" customHeight="1">
      <c r="A41" s="5" t="s">
        <v>76</v>
      </c>
      <c r="B41" s="6"/>
      <c r="C41" s="6">
        <v>2</v>
      </c>
      <c r="D41" s="6">
        <v>152</v>
      </c>
      <c r="E41" s="6">
        <v>322.10000000000002</v>
      </c>
      <c r="F41" s="6" t="s">
        <v>26</v>
      </c>
      <c r="G41" s="7">
        <v>311</v>
      </c>
      <c r="H41" s="7"/>
      <c r="I41" s="6"/>
      <c r="J41" s="6"/>
      <c r="K41" s="6"/>
      <c r="L41" s="6"/>
      <c r="M41" s="7"/>
      <c r="N41" s="9"/>
      <c r="O41" s="6"/>
      <c r="P41" s="6"/>
    </row>
    <row r="42" spans="1:16" ht="30.6" customHeight="1">
      <c r="A42" s="5" t="s">
        <v>78</v>
      </c>
      <c r="B42" s="6" t="s">
        <v>31</v>
      </c>
      <c r="C42" s="6">
        <v>2</v>
      </c>
      <c r="D42" s="6">
        <v>222</v>
      </c>
      <c r="E42" s="6">
        <v>497.1</v>
      </c>
      <c r="F42" s="6" t="s">
        <v>26</v>
      </c>
      <c r="G42" s="7">
        <v>489</v>
      </c>
      <c r="H42" s="7">
        <v>800</v>
      </c>
      <c r="I42" s="6">
        <v>2.7</v>
      </c>
      <c r="J42" s="6">
        <v>7</v>
      </c>
      <c r="K42" s="6"/>
      <c r="L42" s="6"/>
      <c r="M42" s="7"/>
      <c r="N42" s="9"/>
      <c r="O42" s="6"/>
      <c r="P42" s="6"/>
    </row>
    <row r="43" spans="1:16" ht="30.6" customHeight="1">
      <c r="A43" s="5" t="s">
        <v>79</v>
      </c>
      <c r="B43" s="6" t="s">
        <v>80</v>
      </c>
      <c r="C43" s="6">
        <v>2</v>
      </c>
      <c r="D43" s="6">
        <v>14</v>
      </c>
      <c r="E43" s="6">
        <v>608.20000000000005</v>
      </c>
      <c r="F43" s="6" t="s">
        <v>26</v>
      </c>
      <c r="G43" s="7">
        <v>616</v>
      </c>
      <c r="H43" s="7">
        <v>1576</v>
      </c>
      <c r="I43" s="6">
        <v>5.35</v>
      </c>
      <c r="J43" s="6"/>
      <c r="K43" s="6"/>
      <c r="L43" s="6"/>
      <c r="M43" s="7"/>
      <c r="N43" s="9"/>
      <c r="O43" s="6"/>
      <c r="P43" s="6"/>
    </row>
    <row r="44" spans="1:16" ht="30.6" customHeight="1">
      <c r="A44" s="5" t="s">
        <v>81</v>
      </c>
      <c r="B44" s="6" t="s">
        <v>82</v>
      </c>
      <c r="C44" s="6">
        <v>2</v>
      </c>
      <c r="D44" s="6">
        <v>25</v>
      </c>
      <c r="E44" s="6">
        <v>708</v>
      </c>
      <c r="F44" s="6" t="s">
        <v>26</v>
      </c>
      <c r="G44" s="7">
        <v>733</v>
      </c>
      <c r="H44" s="7">
        <v>1847</v>
      </c>
      <c r="I44" s="6">
        <v>6.26</v>
      </c>
      <c r="J44" s="6">
        <v>18</v>
      </c>
      <c r="K44" s="6"/>
      <c r="L44" s="6"/>
      <c r="M44" s="7"/>
      <c r="N44" s="9"/>
      <c r="O44" s="6"/>
      <c r="P44" s="6"/>
    </row>
    <row r="45" spans="1:16" ht="30.6" customHeight="1">
      <c r="A45" s="5" t="s">
        <v>83</v>
      </c>
      <c r="B45" s="6" t="s">
        <v>84</v>
      </c>
      <c r="C45" s="6">
        <v>2</v>
      </c>
      <c r="D45" s="6">
        <v>37</v>
      </c>
      <c r="E45" s="6">
        <v>606.20000000000005</v>
      </c>
      <c r="F45" s="6" t="s">
        <v>26</v>
      </c>
      <c r="G45" s="7">
        <v>616</v>
      </c>
      <c r="H45" s="7">
        <v>1658</v>
      </c>
      <c r="I45" s="6">
        <v>5</v>
      </c>
      <c r="J45" s="6">
        <v>15</v>
      </c>
      <c r="K45" s="6"/>
      <c r="L45" s="6"/>
      <c r="M45" s="7"/>
      <c r="N45" s="9"/>
      <c r="O45" s="6"/>
      <c r="P45" s="6"/>
    </row>
    <row r="46" spans="1:16" ht="30.6" customHeight="1">
      <c r="A46" s="5" t="s">
        <v>85</v>
      </c>
      <c r="B46" s="6" t="s">
        <v>31</v>
      </c>
      <c r="C46" s="6">
        <v>2</v>
      </c>
      <c r="D46" s="6">
        <v>87</v>
      </c>
      <c r="E46" s="6">
        <v>295.8</v>
      </c>
      <c r="F46" s="6" t="s">
        <v>26</v>
      </c>
      <c r="G46" s="7">
        <v>295</v>
      </c>
      <c r="H46" s="7">
        <v>1522</v>
      </c>
      <c r="I46" s="6">
        <v>5.15</v>
      </c>
      <c r="J46" s="6">
        <v>13</v>
      </c>
      <c r="K46" s="6"/>
      <c r="L46" s="6"/>
      <c r="M46" s="7"/>
      <c r="N46" s="9"/>
      <c r="O46" s="6"/>
      <c r="P46" s="6"/>
    </row>
    <row r="47" spans="1:16" ht="30.6" customHeight="1">
      <c r="A47" s="5" t="s">
        <v>86</v>
      </c>
      <c r="B47" s="6" t="s">
        <v>87</v>
      </c>
      <c r="C47" s="6">
        <v>2</v>
      </c>
      <c r="D47" s="6">
        <v>101</v>
      </c>
      <c r="E47" s="6">
        <v>496.6</v>
      </c>
      <c r="F47" s="6" t="s">
        <v>26</v>
      </c>
      <c r="G47" s="7">
        <v>489</v>
      </c>
      <c r="H47" s="7">
        <v>1180</v>
      </c>
      <c r="I47" s="6">
        <v>4</v>
      </c>
      <c r="J47" s="6">
        <v>7</v>
      </c>
      <c r="K47" s="6"/>
      <c r="L47" s="6"/>
      <c r="M47" s="7"/>
      <c r="N47" s="9"/>
      <c r="O47" s="6"/>
      <c r="P47" s="6"/>
    </row>
    <row r="48" spans="1:16" ht="30.6" customHeight="1">
      <c r="A48" s="5" t="s">
        <v>88</v>
      </c>
      <c r="B48" s="6" t="s">
        <v>89</v>
      </c>
      <c r="C48" s="6">
        <v>2</v>
      </c>
      <c r="D48" s="6">
        <v>40</v>
      </c>
      <c r="E48" s="6">
        <v>302.5</v>
      </c>
      <c r="F48" s="6" t="s">
        <v>26</v>
      </c>
      <c r="G48" s="7">
        <v>304</v>
      </c>
      <c r="H48" s="7"/>
      <c r="I48" s="6"/>
      <c r="J48" s="6"/>
      <c r="K48" s="6"/>
      <c r="L48" s="6"/>
      <c r="M48" s="7"/>
      <c r="N48" s="9"/>
      <c r="O48" s="6"/>
      <c r="P48" s="6"/>
    </row>
    <row r="49" spans="1:16" ht="30.6" customHeight="1">
      <c r="A49" s="5" t="s">
        <v>90</v>
      </c>
      <c r="B49" s="6" t="s">
        <v>91</v>
      </c>
      <c r="C49" s="6">
        <v>2</v>
      </c>
      <c r="D49" s="6">
        <v>114</v>
      </c>
      <c r="E49" s="6">
        <v>621.29999999999995</v>
      </c>
      <c r="F49" s="6" t="s">
        <v>26</v>
      </c>
      <c r="G49" s="7">
        <v>606</v>
      </c>
      <c r="H49" s="7">
        <v>1610</v>
      </c>
      <c r="I49" s="6">
        <v>5</v>
      </c>
      <c r="J49" s="6">
        <v>5</v>
      </c>
      <c r="K49" s="6"/>
      <c r="L49" s="6"/>
      <c r="M49" s="7"/>
      <c r="N49" s="9"/>
      <c r="O49" s="6"/>
      <c r="P49" s="6"/>
    </row>
    <row r="50" spans="1:16" ht="30.6" customHeight="1">
      <c r="A50" s="5" t="s">
        <v>92</v>
      </c>
      <c r="B50" s="6" t="s">
        <v>93</v>
      </c>
      <c r="C50" s="6">
        <v>2</v>
      </c>
      <c r="D50" s="6">
        <v>9</v>
      </c>
      <c r="E50" s="6">
        <v>621.79999999999995</v>
      </c>
      <c r="F50" s="6" t="s">
        <v>26</v>
      </c>
      <c r="G50" s="7">
        <v>616</v>
      </c>
      <c r="H50" s="7">
        <v>1475</v>
      </c>
      <c r="I50" s="6">
        <v>5</v>
      </c>
      <c r="J50" s="6">
        <v>15</v>
      </c>
      <c r="K50" s="6"/>
      <c r="L50" s="6"/>
      <c r="M50" s="7"/>
      <c r="N50" s="9"/>
      <c r="O50" s="6"/>
      <c r="P50" s="6"/>
    </row>
    <row r="51" spans="1:16" ht="30.6" customHeight="1">
      <c r="A51" s="5" t="s">
        <v>92</v>
      </c>
      <c r="B51" s="6"/>
      <c r="C51" s="6">
        <v>2</v>
      </c>
      <c r="D51" s="6">
        <v>63</v>
      </c>
      <c r="E51" s="6">
        <v>394.6</v>
      </c>
      <c r="F51" s="6" t="s">
        <v>26</v>
      </c>
      <c r="G51" s="7">
        <v>388</v>
      </c>
      <c r="H51" s="7"/>
      <c r="I51" s="6"/>
      <c r="J51" s="6"/>
      <c r="K51" s="6"/>
      <c r="L51" s="6"/>
      <c r="M51" s="7"/>
      <c r="N51" s="9"/>
      <c r="O51" s="6"/>
      <c r="P51" s="6"/>
    </row>
    <row r="52" spans="1:16" ht="30.6" customHeight="1">
      <c r="A52" s="5" t="s">
        <v>94</v>
      </c>
      <c r="B52" s="6"/>
      <c r="C52" s="6">
        <v>2</v>
      </c>
      <c r="D52" s="6">
        <v>266</v>
      </c>
      <c r="E52" s="6">
        <v>300</v>
      </c>
      <c r="F52" s="6" t="s">
        <v>26</v>
      </c>
      <c r="G52" s="7">
        <v>295</v>
      </c>
      <c r="H52" s="7">
        <v>295</v>
      </c>
      <c r="I52" s="6">
        <v>1</v>
      </c>
      <c r="J52" s="6">
        <v>4</v>
      </c>
      <c r="K52" s="6"/>
      <c r="L52" s="6"/>
      <c r="M52" s="7"/>
      <c r="N52" s="9"/>
      <c r="O52" s="6"/>
      <c r="P52" s="6"/>
    </row>
    <row r="53" spans="1:16" ht="30.6" customHeight="1">
      <c r="A53" s="5" t="s">
        <v>95</v>
      </c>
      <c r="B53" s="6" t="s">
        <v>40</v>
      </c>
      <c r="C53" s="6">
        <v>2</v>
      </c>
      <c r="D53" s="6">
        <v>280</v>
      </c>
      <c r="E53" s="6">
        <v>471.8</v>
      </c>
      <c r="F53" s="6" t="s">
        <v>26</v>
      </c>
      <c r="G53" s="7">
        <v>471</v>
      </c>
      <c r="H53" s="7">
        <v>1368</v>
      </c>
      <c r="I53" s="6">
        <v>4</v>
      </c>
      <c r="J53" s="6">
        <v>11</v>
      </c>
      <c r="K53" s="6"/>
      <c r="L53" s="6"/>
      <c r="M53" s="7"/>
      <c r="N53" s="9"/>
      <c r="O53" s="6"/>
      <c r="P53" s="6"/>
    </row>
    <row r="54" spans="1:16" ht="30.6" customHeight="1">
      <c r="A54" s="5" t="s">
        <v>96</v>
      </c>
      <c r="B54" s="6"/>
      <c r="C54" s="6">
        <v>2</v>
      </c>
      <c r="D54" s="6">
        <v>227</v>
      </c>
      <c r="E54" s="6">
        <v>626.79999999999995</v>
      </c>
      <c r="F54" s="6" t="s">
        <v>26</v>
      </c>
      <c r="G54" s="7">
        <v>616</v>
      </c>
      <c r="H54" s="7">
        <v>616</v>
      </c>
      <c r="I54" s="6">
        <v>2</v>
      </c>
      <c r="J54" s="6">
        <v>5</v>
      </c>
      <c r="K54" s="6"/>
      <c r="L54" s="6"/>
      <c r="M54" s="7"/>
      <c r="N54" s="9"/>
      <c r="O54" s="6"/>
      <c r="P54" s="6"/>
    </row>
    <row r="55" spans="1:16" ht="30.6" customHeight="1">
      <c r="A55" s="5" t="s">
        <v>97</v>
      </c>
      <c r="B55" s="6" t="s">
        <v>40</v>
      </c>
      <c r="C55" s="6">
        <v>2</v>
      </c>
      <c r="D55" s="6">
        <v>279</v>
      </c>
      <c r="E55" s="6">
        <v>826.4</v>
      </c>
      <c r="F55" s="6" t="s">
        <v>26</v>
      </c>
      <c r="G55" s="7">
        <v>825</v>
      </c>
      <c r="H55" s="7">
        <v>2174</v>
      </c>
      <c r="I55" s="6">
        <v>7</v>
      </c>
      <c r="J55" s="6">
        <v>27</v>
      </c>
      <c r="K55" s="6"/>
      <c r="L55" s="6"/>
      <c r="M55" s="7"/>
      <c r="N55" s="9"/>
      <c r="O55" s="6"/>
      <c r="P55" s="6"/>
    </row>
    <row r="56" spans="1:16" ht="30.6" customHeight="1">
      <c r="A56" s="5" t="s">
        <v>98</v>
      </c>
      <c r="B56" s="6" t="s">
        <v>31</v>
      </c>
      <c r="C56" s="6">
        <v>2</v>
      </c>
      <c r="D56" s="6">
        <v>191</v>
      </c>
      <c r="E56" s="6">
        <v>587.9</v>
      </c>
      <c r="F56" s="6" t="s">
        <v>26</v>
      </c>
      <c r="G56" s="7">
        <v>574</v>
      </c>
      <c r="H56" s="7">
        <v>960</v>
      </c>
      <c r="I56" s="6">
        <v>3</v>
      </c>
      <c r="J56" s="6">
        <v>14</v>
      </c>
      <c r="K56" s="6"/>
      <c r="L56" s="6"/>
      <c r="M56" s="7"/>
      <c r="N56" s="9"/>
      <c r="O56" s="6"/>
      <c r="P56" s="6"/>
    </row>
    <row r="57" spans="1:16" ht="30.6" customHeight="1">
      <c r="A57" s="5" t="s">
        <v>99</v>
      </c>
      <c r="B57" s="6" t="s">
        <v>40</v>
      </c>
      <c r="C57" s="6">
        <v>2</v>
      </c>
      <c r="D57" s="6">
        <v>276</v>
      </c>
      <c r="E57" s="6">
        <v>471.4</v>
      </c>
      <c r="F57" s="6" t="s">
        <v>26</v>
      </c>
      <c r="G57" s="7">
        <v>471</v>
      </c>
      <c r="H57" s="7">
        <v>1368</v>
      </c>
      <c r="I57" s="6">
        <v>4</v>
      </c>
      <c r="J57" s="6">
        <v>12</v>
      </c>
      <c r="K57" s="6"/>
      <c r="L57" s="6"/>
      <c r="M57" s="7"/>
      <c r="N57" s="9"/>
      <c r="O57" s="6"/>
      <c r="P57" s="6"/>
    </row>
    <row r="58" spans="1:16" ht="30.6" customHeight="1">
      <c r="A58" s="5" t="s">
        <v>100</v>
      </c>
      <c r="B58" s="6"/>
      <c r="C58" s="6">
        <v>2</v>
      </c>
      <c r="D58" s="6">
        <v>288</v>
      </c>
      <c r="E58" s="6">
        <v>600</v>
      </c>
      <c r="F58" s="6" t="s">
        <v>26</v>
      </c>
      <c r="G58" s="7">
        <v>684</v>
      </c>
      <c r="H58" s="7">
        <v>684</v>
      </c>
      <c r="I58" s="6">
        <v>2.2999999999999998</v>
      </c>
      <c r="J58" s="6">
        <v>6</v>
      </c>
      <c r="K58" s="6"/>
      <c r="L58" s="6"/>
      <c r="M58" s="7"/>
      <c r="N58" s="9"/>
      <c r="O58" s="6"/>
      <c r="P58" s="6"/>
    </row>
    <row r="59" spans="1:16" ht="30.6" customHeight="1">
      <c r="A59" s="5" t="s">
        <v>101</v>
      </c>
      <c r="B59" s="6" t="s">
        <v>40</v>
      </c>
      <c r="C59" s="6">
        <v>2</v>
      </c>
      <c r="D59" s="6">
        <v>305</v>
      </c>
      <c r="E59" s="6">
        <v>475.9</v>
      </c>
      <c r="F59" s="6" t="s">
        <v>26</v>
      </c>
      <c r="G59" s="7">
        <v>471</v>
      </c>
      <c r="H59" s="7">
        <v>1368</v>
      </c>
      <c r="I59" s="6">
        <v>4</v>
      </c>
      <c r="J59" s="6">
        <v>10</v>
      </c>
      <c r="K59" s="6"/>
      <c r="L59" s="6"/>
      <c r="M59" s="7"/>
      <c r="N59" s="9"/>
      <c r="O59" s="6"/>
      <c r="P59" s="6"/>
    </row>
    <row r="60" spans="1:16" ht="30.6" customHeight="1">
      <c r="A60" s="5" t="s">
        <v>102</v>
      </c>
      <c r="B60" s="6" t="s">
        <v>31</v>
      </c>
      <c r="C60" s="6">
        <v>2</v>
      </c>
      <c r="D60" s="6">
        <v>158</v>
      </c>
      <c r="E60" s="6">
        <v>356.9</v>
      </c>
      <c r="F60" s="6" t="s">
        <v>26</v>
      </c>
      <c r="G60" s="7">
        <v>342</v>
      </c>
      <c r="H60" s="7">
        <v>688</v>
      </c>
      <c r="I60" s="6">
        <v>2.2999999999999998</v>
      </c>
      <c r="J60" s="6">
        <v>5</v>
      </c>
      <c r="K60" s="6"/>
      <c r="L60" s="6"/>
      <c r="M60" s="7"/>
      <c r="N60" s="9"/>
      <c r="O60" s="6"/>
      <c r="P60" s="6"/>
    </row>
    <row r="61" spans="1:16" ht="30.6" customHeight="1">
      <c r="A61" s="5" t="s">
        <v>102</v>
      </c>
      <c r="B61" s="6"/>
      <c r="C61" s="6">
        <v>2</v>
      </c>
      <c r="D61" s="6">
        <v>273</v>
      </c>
      <c r="E61" s="6">
        <v>348</v>
      </c>
      <c r="F61" s="6" t="s">
        <v>26</v>
      </c>
      <c r="G61" s="7">
        <v>346</v>
      </c>
      <c r="H61" s="7"/>
      <c r="I61" s="6"/>
      <c r="J61" s="6"/>
      <c r="K61" s="6"/>
      <c r="L61" s="6"/>
      <c r="M61" s="7"/>
      <c r="N61" s="9"/>
      <c r="O61" s="6"/>
      <c r="P61" s="6"/>
    </row>
    <row r="62" spans="1:16" ht="30.6" customHeight="1">
      <c r="A62" s="5" t="s">
        <v>103</v>
      </c>
      <c r="B62" s="6" t="s">
        <v>104</v>
      </c>
      <c r="C62" s="6">
        <v>2</v>
      </c>
      <c r="D62" s="6">
        <v>28</v>
      </c>
      <c r="E62" s="6">
        <v>599.4</v>
      </c>
      <c r="F62" s="6" t="s">
        <v>26</v>
      </c>
      <c r="G62" s="7">
        <v>616</v>
      </c>
      <c r="H62" s="7">
        <v>1479</v>
      </c>
      <c r="I62" s="6">
        <v>5</v>
      </c>
      <c r="J62" s="6">
        <v>14</v>
      </c>
      <c r="K62" s="6"/>
      <c r="L62" s="6"/>
      <c r="M62" s="7"/>
      <c r="N62" s="9"/>
      <c r="O62" s="6"/>
      <c r="P62" s="6"/>
    </row>
    <row r="63" spans="1:16" ht="30.6" customHeight="1">
      <c r="A63" s="5" t="s">
        <v>105</v>
      </c>
      <c r="B63" s="6" t="s">
        <v>31</v>
      </c>
      <c r="C63" s="6">
        <v>2</v>
      </c>
      <c r="D63" s="6">
        <v>144</v>
      </c>
      <c r="E63" s="6">
        <v>718.4</v>
      </c>
      <c r="F63" s="6" t="s">
        <v>26</v>
      </c>
      <c r="G63" s="7">
        <v>718</v>
      </c>
      <c r="H63" s="7">
        <v>1060</v>
      </c>
      <c r="I63" s="6">
        <v>3</v>
      </c>
      <c r="J63" s="6">
        <v>4</v>
      </c>
      <c r="K63" s="6"/>
      <c r="L63" s="6"/>
      <c r="M63" s="7"/>
      <c r="N63" s="9"/>
      <c r="O63" s="6"/>
      <c r="P63" s="6"/>
    </row>
    <row r="64" spans="1:16" ht="30.6" customHeight="1">
      <c r="A64" s="5" t="s">
        <v>106</v>
      </c>
      <c r="B64" s="6" t="s">
        <v>107</v>
      </c>
      <c r="C64" s="6">
        <v>2</v>
      </c>
      <c r="D64" s="6">
        <v>142</v>
      </c>
      <c r="E64" s="6">
        <v>565.70000000000005</v>
      </c>
      <c r="F64" s="6" t="s">
        <v>26</v>
      </c>
      <c r="G64" s="7">
        <v>565</v>
      </c>
      <c r="H64" s="7">
        <v>931</v>
      </c>
      <c r="I64" s="6">
        <v>3</v>
      </c>
      <c r="J64" s="6">
        <v>4</v>
      </c>
      <c r="K64" s="6"/>
      <c r="L64" s="6"/>
      <c r="M64" s="7"/>
      <c r="N64" s="9"/>
      <c r="O64" s="6"/>
      <c r="P64" s="6"/>
    </row>
    <row r="65" spans="1:16" ht="30.6" customHeight="1">
      <c r="A65" s="5" t="s">
        <v>106</v>
      </c>
      <c r="B65" s="6"/>
      <c r="C65" s="6">
        <v>2</v>
      </c>
      <c r="D65" s="6">
        <v>218</v>
      </c>
      <c r="E65" s="6">
        <v>372.6</v>
      </c>
      <c r="F65" s="6" t="s">
        <v>26</v>
      </c>
      <c r="G65" s="7">
        <v>366</v>
      </c>
      <c r="H65" s="7"/>
      <c r="I65" s="6"/>
      <c r="J65" s="6"/>
      <c r="K65" s="6"/>
      <c r="L65" s="6"/>
      <c r="M65" s="7"/>
      <c r="N65" s="9"/>
      <c r="O65" s="6"/>
      <c r="P65" s="6"/>
    </row>
    <row r="66" spans="1:16" ht="30.6" customHeight="1">
      <c r="A66" s="5" t="s">
        <v>108</v>
      </c>
      <c r="B66" s="6" t="s">
        <v>31</v>
      </c>
      <c r="C66" s="6">
        <v>2</v>
      </c>
      <c r="D66" s="6">
        <v>169</v>
      </c>
      <c r="E66" s="6">
        <v>346.7</v>
      </c>
      <c r="F66" s="6" t="s">
        <v>26</v>
      </c>
      <c r="G66" s="7">
        <v>342</v>
      </c>
      <c r="H66" s="7">
        <v>684</v>
      </c>
      <c r="I66" s="6">
        <v>2.2999999999999998</v>
      </c>
      <c r="J66" s="6">
        <v>2</v>
      </c>
      <c r="K66" s="6"/>
      <c r="L66" s="6"/>
      <c r="M66" s="7"/>
      <c r="N66" s="9"/>
      <c r="O66" s="6"/>
      <c r="P66" s="6"/>
    </row>
    <row r="67" spans="1:16" ht="30.6" customHeight="1">
      <c r="A67" s="5" t="s">
        <v>109</v>
      </c>
      <c r="B67" s="6" t="s">
        <v>40</v>
      </c>
      <c r="C67" s="6">
        <v>2</v>
      </c>
      <c r="D67" s="6">
        <v>21</v>
      </c>
      <c r="E67" s="6">
        <v>365.5</v>
      </c>
      <c r="F67" s="6" t="s">
        <v>26</v>
      </c>
      <c r="G67" s="7">
        <v>366</v>
      </c>
      <c r="H67" s="7">
        <v>1180</v>
      </c>
      <c r="I67" s="6">
        <v>4</v>
      </c>
      <c r="J67" s="6">
        <v>3</v>
      </c>
      <c r="K67" s="6"/>
      <c r="L67" s="6"/>
      <c r="M67" s="7"/>
      <c r="N67" s="9"/>
      <c r="O67" s="6"/>
      <c r="P67" s="6"/>
    </row>
    <row r="68" spans="1:16" ht="30.6" customHeight="1">
      <c r="A68" s="5" t="s">
        <v>109</v>
      </c>
      <c r="B68" s="6"/>
      <c r="C68" s="6">
        <v>2</v>
      </c>
      <c r="D68" s="6">
        <v>143</v>
      </c>
      <c r="E68" s="6">
        <v>518.9</v>
      </c>
      <c r="F68" s="6" t="s">
        <v>26</v>
      </c>
      <c r="G68" s="7">
        <v>518</v>
      </c>
      <c r="H68" s="7"/>
      <c r="I68" s="6"/>
      <c r="J68" s="6"/>
      <c r="K68" s="6"/>
      <c r="L68" s="6"/>
      <c r="M68" s="7"/>
      <c r="N68" s="9"/>
      <c r="O68" s="6"/>
      <c r="P68" s="6"/>
    </row>
    <row r="69" spans="1:16" ht="30.6" customHeight="1">
      <c r="A69" s="5" t="s">
        <v>110</v>
      </c>
      <c r="B69" s="6"/>
      <c r="C69" s="6">
        <v>2</v>
      </c>
      <c r="D69" s="6">
        <v>267</v>
      </c>
      <c r="E69" s="6">
        <v>338.8</v>
      </c>
      <c r="F69" s="6" t="s">
        <v>26</v>
      </c>
      <c r="G69" s="7">
        <v>332</v>
      </c>
      <c r="H69" s="7">
        <v>332</v>
      </c>
      <c r="I69" s="6">
        <v>1.1000000000000001</v>
      </c>
      <c r="J69" s="6">
        <v>5</v>
      </c>
      <c r="K69" s="6"/>
      <c r="L69" s="6"/>
      <c r="M69" s="7"/>
      <c r="N69" s="9"/>
      <c r="O69" s="6"/>
      <c r="P69" s="6"/>
    </row>
    <row r="70" spans="1:16" ht="30.6" customHeight="1">
      <c r="A70" s="5" t="s">
        <v>111</v>
      </c>
      <c r="B70" s="6"/>
      <c r="C70" s="6">
        <v>2</v>
      </c>
      <c r="D70" s="6">
        <v>125</v>
      </c>
      <c r="E70" s="6">
        <v>346.3</v>
      </c>
      <c r="F70" s="6" t="s">
        <v>26</v>
      </c>
      <c r="G70" s="7">
        <v>342</v>
      </c>
      <c r="H70" s="7">
        <v>684</v>
      </c>
      <c r="I70" s="6">
        <v>2.2999999999999998</v>
      </c>
      <c r="J70" s="6">
        <v>6</v>
      </c>
      <c r="K70" s="6"/>
      <c r="L70" s="6"/>
      <c r="M70" s="7"/>
      <c r="N70" s="9"/>
      <c r="O70" s="6"/>
      <c r="P70" s="6"/>
    </row>
    <row r="71" spans="1:16" ht="30.6" customHeight="1">
      <c r="A71" s="5" t="s">
        <v>112</v>
      </c>
      <c r="B71" s="6" t="s">
        <v>31</v>
      </c>
      <c r="C71" s="6">
        <v>2</v>
      </c>
      <c r="D71" s="6">
        <v>208</v>
      </c>
      <c r="E71" s="6">
        <v>310.5</v>
      </c>
      <c r="F71" s="6" t="s">
        <v>26</v>
      </c>
      <c r="G71" s="7">
        <v>295</v>
      </c>
      <c r="H71" s="7">
        <v>590</v>
      </c>
      <c r="I71" s="6">
        <v>2</v>
      </c>
      <c r="J71" s="6">
        <v>1</v>
      </c>
      <c r="K71" s="6"/>
      <c r="L71" s="6"/>
      <c r="M71" s="7"/>
      <c r="N71" s="9"/>
      <c r="O71" s="6"/>
      <c r="P71" s="6"/>
    </row>
    <row r="72" spans="1:16" ht="30.6" customHeight="1">
      <c r="A72" s="5" t="s">
        <v>113</v>
      </c>
      <c r="B72" s="6" t="s">
        <v>40</v>
      </c>
      <c r="C72" s="6">
        <v>2</v>
      </c>
      <c r="D72" s="6">
        <v>312</v>
      </c>
      <c r="E72" s="6">
        <v>1122.0999999999999</v>
      </c>
      <c r="F72" s="6" t="s">
        <v>26</v>
      </c>
      <c r="G72" s="7">
        <v>1090</v>
      </c>
      <c r="H72" s="7">
        <v>2958</v>
      </c>
      <c r="I72" s="6">
        <v>9</v>
      </c>
      <c r="J72" s="6">
        <v>36</v>
      </c>
      <c r="K72" s="6"/>
      <c r="L72" s="6"/>
      <c r="M72" s="7"/>
      <c r="N72" s="9"/>
      <c r="O72" s="6"/>
      <c r="P72" s="6"/>
    </row>
    <row r="73" spans="1:16" ht="30.6" customHeight="1">
      <c r="A73" s="5" t="s">
        <v>114</v>
      </c>
      <c r="B73" s="6"/>
      <c r="C73" s="6">
        <v>2</v>
      </c>
      <c r="D73" s="6">
        <v>180</v>
      </c>
      <c r="E73" s="6">
        <v>298.10000000000002</v>
      </c>
      <c r="F73" s="6" t="s">
        <v>26</v>
      </c>
      <c r="G73" s="7">
        <v>295</v>
      </c>
      <c r="H73" s="7"/>
      <c r="I73" s="6"/>
      <c r="J73" s="6"/>
      <c r="K73" s="6"/>
      <c r="L73" s="6"/>
      <c r="M73" s="7"/>
      <c r="N73" s="9"/>
      <c r="O73" s="6"/>
      <c r="P73" s="6"/>
    </row>
    <row r="74" spans="1:16" ht="30.6" customHeight="1">
      <c r="A74" s="5" t="s">
        <v>115</v>
      </c>
      <c r="B74" s="6" t="s">
        <v>31</v>
      </c>
      <c r="C74" s="6">
        <v>2</v>
      </c>
      <c r="D74" s="6">
        <v>170</v>
      </c>
      <c r="E74" s="6">
        <v>347.9</v>
      </c>
      <c r="F74" s="6" t="s">
        <v>26</v>
      </c>
      <c r="G74" s="7">
        <v>342</v>
      </c>
      <c r="H74" s="7">
        <v>637</v>
      </c>
      <c r="I74" s="6">
        <v>2.1</v>
      </c>
      <c r="J74" s="6">
        <v>5</v>
      </c>
      <c r="K74" s="6"/>
      <c r="L74" s="6"/>
      <c r="M74" s="7"/>
      <c r="N74" s="9"/>
      <c r="O74" s="6"/>
      <c r="P74" s="6"/>
    </row>
    <row r="75" spans="1:16" ht="30.6" customHeight="1">
      <c r="A75" s="5" t="s">
        <v>116</v>
      </c>
      <c r="B75" s="6" t="s">
        <v>31</v>
      </c>
      <c r="C75" s="6">
        <v>2</v>
      </c>
      <c r="D75" s="6">
        <v>302</v>
      </c>
      <c r="E75" s="6">
        <v>325</v>
      </c>
      <c r="F75" s="6" t="s">
        <v>26</v>
      </c>
      <c r="G75" s="7">
        <v>317</v>
      </c>
      <c r="H75" s="7">
        <v>1026</v>
      </c>
      <c r="I75" s="6">
        <v>3.4</v>
      </c>
      <c r="J75" s="6">
        <v>5</v>
      </c>
      <c r="K75" s="6"/>
      <c r="L75" s="6"/>
      <c r="M75" s="7"/>
      <c r="N75" s="9"/>
      <c r="O75" s="6"/>
      <c r="P75" s="6"/>
    </row>
    <row r="76" spans="1:16" ht="30.6" customHeight="1">
      <c r="A76" s="5" t="s">
        <v>117</v>
      </c>
      <c r="B76" s="6" t="s">
        <v>31</v>
      </c>
      <c r="C76" s="6">
        <v>2</v>
      </c>
      <c r="D76" s="6">
        <v>165</v>
      </c>
      <c r="E76" s="6">
        <v>379.2</v>
      </c>
      <c r="F76" s="6" t="s">
        <v>26</v>
      </c>
      <c r="G76" s="7">
        <v>372</v>
      </c>
      <c r="H76" s="7">
        <v>714</v>
      </c>
      <c r="I76" s="6">
        <v>2.4</v>
      </c>
      <c r="J76" s="6">
        <v>5</v>
      </c>
      <c r="K76" s="6"/>
      <c r="L76" s="6"/>
      <c r="M76" s="7"/>
      <c r="N76" s="9"/>
      <c r="O76" s="6"/>
      <c r="P76" s="6"/>
    </row>
    <row r="77" spans="1:16" ht="30.6" customHeight="1">
      <c r="A77" s="5" t="s">
        <v>117</v>
      </c>
      <c r="B77" s="6"/>
      <c r="C77" s="6">
        <v>2</v>
      </c>
      <c r="D77" s="6">
        <v>270</v>
      </c>
      <c r="E77" s="6">
        <v>341.3</v>
      </c>
      <c r="F77" s="6" t="s">
        <v>26</v>
      </c>
      <c r="G77" s="7">
        <v>342</v>
      </c>
      <c r="H77" s="7"/>
      <c r="I77" s="6"/>
      <c r="J77" s="6"/>
      <c r="K77" s="6"/>
      <c r="L77" s="6"/>
      <c r="M77" s="7"/>
      <c r="N77" s="9"/>
      <c r="O77" s="6"/>
      <c r="P77" s="6"/>
    </row>
    <row r="78" spans="1:16" ht="30.6" customHeight="1">
      <c r="A78" s="5" t="s">
        <v>118</v>
      </c>
      <c r="B78" s="6" t="s">
        <v>31</v>
      </c>
      <c r="C78" s="6">
        <v>2</v>
      </c>
      <c r="D78" s="6">
        <v>281</v>
      </c>
      <c r="E78" s="6">
        <v>301.10000000000002</v>
      </c>
      <c r="F78" s="6" t="s">
        <v>26</v>
      </c>
      <c r="G78" s="7">
        <v>301</v>
      </c>
      <c r="H78" s="7">
        <v>601</v>
      </c>
      <c r="I78" s="6">
        <v>2</v>
      </c>
      <c r="J78" s="6">
        <v>6</v>
      </c>
      <c r="K78" s="6"/>
      <c r="L78" s="6"/>
      <c r="M78" s="7"/>
      <c r="N78" s="9"/>
      <c r="O78" s="6"/>
      <c r="P78" s="6"/>
    </row>
    <row r="79" spans="1:16" ht="30.6" customHeight="1">
      <c r="A79" s="5" t="s">
        <v>119</v>
      </c>
      <c r="B79" s="6" t="s">
        <v>31</v>
      </c>
      <c r="C79" s="6">
        <v>2</v>
      </c>
      <c r="D79" s="6">
        <v>171</v>
      </c>
      <c r="E79" s="6">
        <v>298.60000000000002</v>
      </c>
      <c r="F79" s="6" t="s">
        <v>26</v>
      </c>
      <c r="G79" s="7">
        <v>295</v>
      </c>
      <c r="H79" s="7">
        <v>590</v>
      </c>
      <c r="I79" s="6">
        <v>2</v>
      </c>
      <c r="J79" s="6">
        <v>2</v>
      </c>
      <c r="K79" s="6"/>
      <c r="L79" s="6"/>
      <c r="M79" s="7"/>
      <c r="N79" s="9"/>
      <c r="O79" s="6"/>
      <c r="P79" s="6"/>
    </row>
    <row r="80" spans="1:16" ht="30.6" customHeight="1">
      <c r="A80" s="5" t="s">
        <v>120</v>
      </c>
      <c r="B80" s="6"/>
      <c r="C80" s="6">
        <v>2</v>
      </c>
      <c r="D80" s="6">
        <v>137</v>
      </c>
      <c r="E80" s="6">
        <v>347.6</v>
      </c>
      <c r="F80" s="6" t="s">
        <v>26</v>
      </c>
      <c r="G80" s="7">
        <v>342</v>
      </c>
      <c r="H80" s="7">
        <v>684</v>
      </c>
      <c r="I80" s="6">
        <v>2.2999999999999998</v>
      </c>
      <c r="J80" s="6">
        <v>3</v>
      </c>
      <c r="K80" s="6"/>
      <c r="L80" s="6"/>
      <c r="M80" s="7"/>
      <c r="N80" s="9"/>
      <c r="O80" s="6"/>
      <c r="P80" s="6"/>
    </row>
    <row r="81" spans="1:16" ht="30.6" customHeight="1">
      <c r="A81" s="5" t="s">
        <v>121</v>
      </c>
      <c r="B81" s="6" t="s">
        <v>122</v>
      </c>
      <c r="C81" s="6">
        <v>2</v>
      </c>
      <c r="D81" s="6">
        <v>43</v>
      </c>
      <c r="E81" s="6">
        <v>612.9</v>
      </c>
      <c r="F81" s="6" t="s">
        <v>26</v>
      </c>
      <c r="G81" s="7">
        <v>616</v>
      </c>
      <c r="H81" s="7">
        <v>1710</v>
      </c>
      <c r="I81" s="6">
        <v>5</v>
      </c>
      <c r="J81" s="6">
        <v>17</v>
      </c>
      <c r="K81" s="6"/>
      <c r="L81" s="6"/>
      <c r="M81" s="7"/>
      <c r="N81" s="9"/>
      <c r="O81" s="6"/>
      <c r="P81" s="6"/>
    </row>
    <row r="82" spans="1:16" ht="30.6" customHeight="1">
      <c r="A82" s="5" t="s">
        <v>123</v>
      </c>
      <c r="B82" s="6" t="s">
        <v>124</v>
      </c>
      <c r="C82" s="6">
        <v>2</v>
      </c>
      <c r="D82" s="6">
        <v>104</v>
      </c>
      <c r="E82" s="6">
        <v>866.2</v>
      </c>
      <c r="F82" s="6" t="s">
        <v>26</v>
      </c>
      <c r="G82" s="7">
        <v>856</v>
      </c>
      <c r="H82" s="7">
        <v>2.1059999999999999</v>
      </c>
      <c r="I82" s="6">
        <v>7.1</v>
      </c>
      <c r="J82" s="6">
        <v>13</v>
      </c>
      <c r="K82" s="6"/>
      <c r="L82" s="6"/>
      <c r="M82" s="7"/>
      <c r="N82" s="9"/>
      <c r="O82" s="6"/>
      <c r="P82" s="6"/>
    </row>
    <row r="83" spans="1:16" ht="30.6" customHeight="1">
      <c r="A83" s="5" t="s">
        <v>125</v>
      </c>
      <c r="B83" s="6" t="s">
        <v>126</v>
      </c>
      <c r="C83" s="6">
        <v>2</v>
      </c>
      <c r="D83" s="6">
        <v>68</v>
      </c>
      <c r="E83" s="6">
        <v>464.6</v>
      </c>
      <c r="F83" s="6" t="s">
        <v>26</v>
      </c>
      <c r="G83" s="7">
        <v>489</v>
      </c>
      <c r="H83" s="7">
        <v>1359</v>
      </c>
      <c r="I83" s="6">
        <v>4.5999999999999996</v>
      </c>
      <c r="J83" s="6">
        <v>10</v>
      </c>
      <c r="K83" s="6"/>
      <c r="L83" s="6"/>
      <c r="M83" s="7"/>
      <c r="N83" s="9"/>
      <c r="O83" s="6"/>
      <c r="P83" s="6"/>
    </row>
    <row r="84" spans="1:16" ht="30.6" customHeight="1">
      <c r="A84" s="5" t="s">
        <v>127</v>
      </c>
      <c r="B84" s="6" t="s">
        <v>128</v>
      </c>
      <c r="C84" s="6">
        <v>2</v>
      </c>
      <c r="D84" s="6">
        <v>96</v>
      </c>
      <c r="E84" s="6">
        <v>799.3</v>
      </c>
      <c r="F84" s="6" t="s">
        <v>26</v>
      </c>
      <c r="G84" s="7">
        <v>784</v>
      </c>
      <c r="H84" s="7">
        <v>1838</v>
      </c>
      <c r="I84" s="6">
        <v>6</v>
      </c>
      <c r="J84" s="6">
        <v>8</v>
      </c>
      <c r="K84" s="6"/>
      <c r="L84" s="6"/>
      <c r="M84" s="7"/>
      <c r="N84" s="9"/>
      <c r="O84" s="6"/>
      <c r="P84" s="6"/>
    </row>
    <row r="85" spans="1:16" ht="30.6" customHeight="1">
      <c r="A85" s="5" t="s">
        <v>129</v>
      </c>
      <c r="B85" s="6" t="s">
        <v>31</v>
      </c>
      <c r="C85" s="6">
        <v>2</v>
      </c>
      <c r="D85" s="6">
        <v>277</v>
      </c>
      <c r="E85" s="6">
        <v>575.4</v>
      </c>
      <c r="F85" s="6" t="s">
        <v>26</v>
      </c>
      <c r="G85" s="7">
        <v>575</v>
      </c>
      <c r="H85" s="7">
        <v>1475</v>
      </c>
      <c r="I85" s="6">
        <v>5</v>
      </c>
      <c r="J85" s="6">
        <v>14</v>
      </c>
      <c r="K85" s="6"/>
      <c r="L85" s="6"/>
      <c r="M85" s="7"/>
      <c r="N85" s="9"/>
      <c r="O85" s="6"/>
      <c r="P85" s="6"/>
    </row>
    <row r="86" spans="1:16" ht="30.6" customHeight="1">
      <c r="A86" s="5" t="s">
        <v>130</v>
      </c>
      <c r="B86" s="6" t="s">
        <v>131</v>
      </c>
      <c r="C86" s="6">
        <v>2</v>
      </c>
      <c r="D86" s="6">
        <v>16</v>
      </c>
      <c r="E86" s="6">
        <v>488.9</v>
      </c>
      <c r="F86" s="6" t="s">
        <v>26</v>
      </c>
      <c r="G86" s="7">
        <v>503</v>
      </c>
      <c r="H86" s="7">
        <v>1914</v>
      </c>
      <c r="I86" s="6">
        <v>6.49</v>
      </c>
      <c r="J86" s="6">
        <v>9</v>
      </c>
      <c r="K86" s="6"/>
      <c r="L86" s="6"/>
      <c r="M86" s="7"/>
      <c r="N86" s="9"/>
      <c r="O86" s="6"/>
      <c r="P86" s="6"/>
    </row>
    <row r="87" spans="1:16" ht="30.6" customHeight="1">
      <c r="A87" s="5" t="s">
        <v>132</v>
      </c>
      <c r="B87" s="6" t="s">
        <v>133</v>
      </c>
      <c r="C87" s="6">
        <v>2</v>
      </c>
      <c r="D87" s="6">
        <v>29</v>
      </c>
      <c r="E87" s="6">
        <v>605.1</v>
      </c>
      <c r="F87" s="6" t="s">
        <v>26</v>
      </c>
      <c r="G87" s="7">
        <v>616</v>
      </c>
      <c r="H87" s="7">
        <v>1710</v>
      </c>
      <c r="I87" s="6">
        <v>5</v>
      </c>
      <c r="J87" s="6">
        <v>13</v>
      </c>
      <c r="K87" s="6"/>
      <c r="L87" s="6"/>
      <c r="M87" s="7"/>
      <c r="N87" s="9"/>
      <c r="O87" s="6"/>
      <c r="P87" s="6"/>
    </row>
    <row r="88" spans="1:16" ht="30.6" customHeight="1">
      <c r="A88" s="5" t="s">
        <v>134</v>
      </c>
      <c r="B88" s="6" t="s">
        <v>31</v>
      </c>
      <c r="C88" s="6">
        <v>2</v>
      </c>
      <c r="D88" s="6">
        <v>134</v>
      </c>
      <c r="E88" s="6">
        <v>346.7</v>
      </c>
      <c r="F88" s="6" t="s">
        <v>26</v>
      </c>
      <c r="G88" s="7">
        <v>342</v>
      </c>
      <c r="H88" s="7">
        <v>684</v>
      </c>
      <c r="I88" s="6">
        <v>2.2999999999999998</v>
      </c>
      <c r="J88" s="6">
        <v>4</v>
      </c>
      <c r="K88" s="6"/>
      <c r="L88" s="6"/>
      <c r="M88" s="7"/>
      <c r="N88" s="9"/>
      <c r="O88" s="6"/>
      <c r="P88" s="6"/>
    </row>
    <row r="89" spans="1:16" ht="30.6" customHeight="1">
      <c r="A89" s="5" t="s">
        <v>135</v>
      </c>
      <c r="B89" s="6" t="s">
        <v>136</v>
      </c>
      <c r="C89" s="6">
        <v>2</v>
      </c>
      <c r="D89" s="6">
        <v>174</v>
      </c>
      <c r="E89" s="6">
        <v>624.29999999999995</v>
      </c>
      <c r="F89" s="6" t="s">
        <v>26</v>
      </c>
      <c r="G89" s="7">
        <v>616</v>
      </c>
      <c r="H89" s="7">
        <v>1014</v>
      </c>
      <c r="I89" s="6">
        <v>3.4</v>
      </c>
      <c r="J89" s="6">
        <v>9</v>
      </c>
      <c r="K89" s="6"/>
      <c r="L89" s="6"/>
      <c r="M89" s="7"/>
      <c r="N89" s="9"/>
      <c r="O89" s="6"/>
      <c r="P89" s="6"/>
    </row>
    <row r="90" spans="1:16" ht="30.6" customHeight="1">
      <c r="A90" s="5" t="s">
        <v>137</v>
      </c>
      <c r="B90" s="6" t="s">
        <v>31</v>
      </c>
      <c r="C90" s="6">
        <v>2</v>
      </c>
      <c r="D90" s="6">
        <v>177</v>
      </c>
      <c r="E90" s="6">
        <v>495.5</v>
      </c>
      <c r="F90" s="6" t="s">
        <v>26</v>
      </c>
      <c r="G90" s="7">
        <v>489</v>
      </c>
      <c r="H90" s="7">
        <v>800</v>
      </c>
      <c r="I90" s="6">
        <v>2.7</v>
      </c>
      <c r="J90" s="6">
        <v>10</v>
      </c>
      <c r="K90" s="6"/>
      <c r="L90" s="6"/>
      <c r="M90" s="7"/>
      <c r="N90" s="9"/>
      <c r="O90" s="6"/>
      <c r="P90" s="6"/>
    </row>
    <row r="91" spans="1:16" ht="30.6" customHeight="1">
      <c r="A91" s="5" t="s">
        <v>138</v>
      </c>
      <c r="B91" s="6" t="s">
        <v>139</v>
      </c>
      <c r="C91" s="6">
        <v>2</v>
      </c>
      <c r="D91" s="6">
        <v>34</v>
      </c>
      <c r="E91" s="6">
        <v>722.4</v>
      </c>
      <c r="F91" s="6" t="s">
        <v>26</v>
      </c>
      <c r="G91" s="7">
        <v>733</v>
      </c>
      <c r="H91" s="7">
        <v>1885</v>
      </c>
      <c r="I91" s="6">
        <v>6</v>
      </c>
      <c r="J91" s="6">
        <v>21</v>
      </c>
      <c r="K91" s="6"/>
      <c r="L91" s="6"/>
      <c r="M91" s="7"/>
      <c r="N91" s="9"/>
      <c r="O91" s="6"/>
      <c r="P91" s="6"/>
    </row>
    <row r="92" spans="1:16" ht="30.6" customHeight="1">
      <c r="A92" s="5" t="s">
        <v>140</v>
      </c>
      <c r="B92" s="6"/>
      <c r="C92" s="6">
        <v>2</v>
      </c>
      <c r="D92" s="6">
        <v>216</v>
      </c>
      <c r="E92" s="6">
        <v>493.2</v>
      </c>
      <c r="F92" s="6" t="s">
        <v>26</v>
      </c>
      <c r="G92" s="7">
        <v>489</v>
      </c>
      <c r="H92" s="7">
        <v>810</v>
      </c>
      <c r="I92" s="6">
        <v>2.7</v>
      </c>
      <c r="J92" s="6">
        <v>6</v>
      </c>
      <c r="K92" s="6"/>
      <c r="L92" s="6"/>
      <c r="M92" s="7"/>
      <c r="N92" s="9"/>
      <c r="O92" s="6"/>
      <c r="P92" s="6"/>
    </row>
    <row r="93" spans="1:16" ht="30.6" customHeight="1">
      <c r="A93" s="5" t="s">
        <v>141</v>
      </c>
      <c r="B93" s="6" t="s">
        <v>31</v>
      </c>
      <c r="C93" s="6">
        <v>2</v>
      </c>
      <c r="D93" s="6">
        <v>257</v>
      </c>
      <c r="E93" s="6">
        <v>619.70000000000005</v>
      </c>
      <c r="F93" s="6" t="s">
        <v>26</v>
      </c>
      <c r="G93" s="7">
        <v>616</v>
      </c>
      <c r="H93" s="7">
        <v>1004</v>
      </c>
      <c r="I93" s="6">
        <v>3.4</v>
      </c>
      <c r="J93" s="6">
        <v>14</v>
      </c>
      <c r="K93" s="6"/>
      <c r="L93" s="6"/>
      <c r="M93" s="7"/>
      <c r="N93" s="9"/>
      <c r="O93" s="6"/>
      <c r="P93" s="6"/>
    </row>
    <row r="94" spans="1:16" ht="30.6" customHeight="1">
      <c r="A94" s="5" t="s">
        <v>142</v>
      </c>
      <c r="B94" s="6" t="s">
        <v>31</v>
      </c>
      <c r="C94" s="6">
        <v>2</v>
      </c>
      <c r="D94" s="6">
        <v>224</v>
      </c>
      <c r="E94" s="6">
        <v>741.2</v>
      </c>
      <c r="F94" s="6" t="s">
        <v>26</v>
      </c>
      <c r="G94" s="7">
        <v>733</v>
      </c>
      <c r="H94" s="7">
        <v>1199</v>
      </c>
      <c r="I94" s="6">
        <v>4</v>
      </c>
      <c r="J94" s="6">
        <v>11</v>
      </c>
      <c r="K94" s="6"/>
      <c r="L94" s="6"/>
      <c r="M94" s="7"/>
      <c r="N94" s="9"/>
      <c r="O94" s="6"/>
      <c r="P94" s="6"/>
    </row>
    <row r="95" spans="1:16" ht="30.6" customHeight="1">
      <c r="A95" s="5" t="s">
        <v>143</v>
      </c>
      <c r="B95" s="6" t="s">
        <v>31</v>
      </c>
      <c r="C95" s="6">
        <v>2</v>
      </c>
      <c r="D95" s="6">
        <v>221</v>
      </c>
      <c r="E95" s="6">
        <v>627</v>
      </c>
      <c r="F95" s="6" t="s">
        <v>26</v>
      </c>
      <c r="G95" s="7">
        <v>616</v>
      </c>
      <c r="H95" s="7">
        <v>1005</v>
      </c>
      <c r="I95" s="6">
        <v>3.4</v>
      </c>
      <c r="J95" s="6">
        <v>14</v>
      </c>
      <c r="K95" s="6"/>
      <c r="L95" s="6"/>
      <c r="M95" s="7"/>
      <c r="N95" s="9"/>
      <c r="O95" s="6"/>
      <c r="P95" s="6"/>
    </row>
    <row r="96" spans="1:16" ht="30.6" customHeight="1">
      <c r="A96" s="5" t="s">
        <v>144</v>
      </c>
      <c r="B96" s="6" t="s">
        <v>145</v>
      </c>
      <c r="C96" s="6">
        <v>2</v>
      </c>
      <c r="D96" s="6">
        <v>19</v>
      </c>
      <c r="E96" s="6">
        <v>294.3</v>
      </c>
      <c r="F96" s="6" t="s">
        <v>26</v>
      </c>
      <c r="G96" s="7">
        <v>296</v>
      </c>
      <c r="H96" s="7">
        <v>888</v>
      </c>
      <c r="I96" s="6">
        <v>3</v>
      </c>
      <c r="J96" s="6">
        <v>8</v>
      </c>
      <c r="K96" s="6"/>
      <c r="L96" s="6"/>
      <c r="M96" s="7"/>
      <c r="N96" s="9"/>
      <c r="O96" s="6"/>
      <c r="P96" s="6"/>
    </row>
    <row r="97" spans="1:16" ht="30.6" customHeight="1">
      <c r="A97" s="5" t="s">
        <v>146</v>
      </c>
      <c r="B97" s="6" t="s">
        <v>31</v>
      </c>
      <c r="C97" s="6">
        <v>2</v>
      </c>
      <c r="D97" s="6">
        <v>168</v>
      </c>
      <c r="E97" s="6">
        <v>298.89999999999998</v>
      </c>
      <c r="F97" s="6" t="s">
        <v>26</v>
      </c>
      <c r="G97" s="7">
        <v>295</v>
      </c>
      <c r="H97" s="7">
        <v>590</v>
      </c>
      <c r="I97" s="6">
        <v>2</v>
      </c>
      <c r="J97" s="6">
        <v>4</v>
      </c>
      <c r="K97" s="6"/>
      <c r="L97" s="6"/>
      <c r="M97" s="7"/>
      <c r="N97" s="9"/>
      <c r="O97" s="6"/>
      <c r="P97" s="6"/>
    </row>
    <row r="98" spans="1:16" ht="30.6" customHeight="1">
      <c r="A98" s="5" t="s">
        <v>147</v>
      </c>
      <c r="B98" s="6" t="s">
        <v>148</v>
      </c>
      <c r="C98" s="6">
        <v>2</v>
      </c>
      <c r="D98" s="6">
        <v>112</v>
      </c>
      <c r="E98" s="6">
        <v>737.2</v>
      </c>
      <c r="F98" s="6" t="s">
        <v>26</v>
      </c>
      <c r="G98" s="7">
        <v>733</v>
      </c>
      <c r="H98" s="7">
        <v>1770</v>
      </c>
      <c r="I98" s="6">
        <v>6</v>
      </c>
      <c r="J98" s="6">
        <v>12</v>
      </c>
      <c r="K98" s="6"/>
      <c r="L98" s="6"/>
      <c r="M98" s="7"/>
      <c r="N98" s="9"/>
      <c r="O98" s="6"/>
      <c r="P98" s="6"/>
    </row>
    <row r="99" spans="1:16" ht="30.6" customHeight="1">
      <c r="A99" s="5" t="s">
        <v>149</v>
      </c>
      <c r="B99" s="6" t="s">
        <v>150</v>
      </c>
      <c r="C99" s="6">
        <v>2</v>
      </c>
      <c r="D99" s="6">
        <v>30</v>
      </c>
      <c r="E99" s="6">
        <v>475.5</v>
      </c>
      <c r="F99" s="6" t="s">
        <v>26</v>
      </c>
      <c r="G99" s="7">
        <v>489</v>
      </c>
      <c r="H99" s="7">
        <v>1480</v>
      </c>
      <c r="I99" s="6">
        <v>4</v>
      </c>
      <c r="J99" s="6">
        <v>14</v>
      </c>
      <c r="K99" s="6"/>
      <c r="L99" s="6"/>
      <c r="M99" s="7"/>
      <c r="N99" s="9"/>
      <c r="O99" s="6"/>
      <c r="P99" s="6"/>
    </row>
    <row r="100" spans="1:16" ht="30.6" customHeight="1">
      <c r="A100" s="5" t="s">
        <v>151</v>
      </c>
      <c r="B100" s="6" t="s">
        <v>152</v>
      </c>
      <c r="C100" s="6">
        <v>2</v>
      </c>
      <c r="D100" s="6">
        <v>77</v>
      </c>
      <c r="E100" s="6">
        <v>859.6</v>
      </c>
      <c r="F100" s="6" t="s">
        <v>26</v>
      </c>
      <c r="G100" s="7">
        <v>856</v>
      </c>
      <c r="H100" s="7">
        <v>1825</v>
      </c>
      <c r="I100" s="6">
        <v>6</v>
      </c>
      <c r="J100" s="6">
        <v>10</v>
      </c>
      <c r="K100" s="6"/>
      <c r="L100" s="6"/>
      <c r="M100" s="7"/>
      <c r="N100" s="9"/>
      <c r="O100" s="6"/>
      <c r="P100" s="6"/>
    </row>
    <row r="101" spans="1:16" ht="30.6" customHeight="1">
      <c r="A101" s="5" t="s">
        <v>153</v>
      </c>
      <c r="B101" s="6" t="s">
        <v>31</v>
      </c>
      <c r="C101" s="6">
        <v>2</v>
      </c>
      <c r="D101" s="6">
        <v>254</v>
      </c>
      <c r="E101" s="6">
        <v>489.8</v>
      </c>
      <c r="F101" s="6" t="s">
        <v>26</v>
      </c>
      <c r="G101" s="7">
        <v>489</v>
      </c>
      <c r="H101" s="7">
        <v>800</v>
      </c>
      <c r="I101" s="6">
        <v>2</v>
      </c>
      <c r="J101" s="6">
        <v>7</v>
      </c>
      <c r="K101" s="6"/>
      <c r="L101" s="6"/>
      <c r="M101" s="7"/>
      <c r="N101" s="9"/>
      <c r="O101" s="6"/>
      <c r="P101" s="6"/>
    </row>
    <row r="102" spans="1:16" ht="30.6" customHeight="1">
      <c r="A102" s="5" t="s">
        <v>154</v>
      </c>
      <c r="B102" s="6" t="s">
        <v>40</v>
      </c>
      <c r="C102" s="6">
        <v>2</v>
      </c>
      <c r="D102" s="6">
        <v>69</v>
      </c>
      <c r="E102" s="6">
        <v>938.2</v>
      </c>
      <c r="F102" s="6" t="s">
        <v>26</v>
      </c>
      <c r="G102" s="7">
        <v>978</v>
      </c>
      <c r="H102" s="7">
        <v>2407</v>
      </c>
      <c r="I102" s="6">
        <v>8</v>
      </c>
      <c r="J102" s="6">
        <v>13</v>
      </c>
      <c r="K102" s="6"/>
      <c r="L102" s="6"/>
      <c r="M102" s="7"/>
      <c r="N102" s="9"/>
      <c r="O102" s="6"/>
      <c r="P102" s="6"/>
    </row>
    <row r="103" spans="1:16" ht="30.6" customHeight="1">
      <c r="A103" s="5" t="s">
        <v>155</v>
      </c>
      <c r="B103" s="6" t="s">
        <v>156</v>
      </c>
      <c r="C103" s="6">
        <v>2</v>
      </c>
      <c r="D103" s="6">
        <v>50</v>
      </c>
      <c r="E103" s="6">
        <v>296.2</v>
      </c>
      <c r="F103" s="6" t="s">
        <v>26</v>
      </c>
      <c r="G103" s="7">
        <v>295</v>
      </c>
      <c r="H103" s="7">
        <v>885</v>
      </c>
      <c r="I103" s="6">
        <v>3</v>
      </c>
      <c r="J103" s="6">
        <v>6</v>
      </c>
      <c r="K103" s="6"/>
      <c r="L103" s="6"/>
      <c r="M103" s="7"/>
      <c r="N103" s="9"/>
      <c r="O103" s="6"/>
      <c r="P103" s="6"/>
    </row>
    <row r="104" spans="1:16" ht="30.6" customHeight="1">
      <c r="A104" s="5" t="s">
        <v>157</v>
      </c>
      <c r="B104" s="6" t="s">
        <v>40</v>
      </c>
      <c r="C104" s="6">
        <v>2</v>
      </c>
      <c r="D104" s="6">
        <v>84</v>
      </c>
      <c r="E104" s="6">
        <v>860.4</v>
      </c>
      <c r="F104" s="6" t="s">
        <v>26</v>
      </c>
      <c r="G104" s="7">
        <v>856</v>
      </c>
      <c r="H104" s="7">
        <v>1696</v>
      </c>
      <c r="I104" s="6">
        <v>5</v>
      </c>
      <c r="J104" s="6">
        <v>18</v>
      </c>
      <c r="K104" s="6"/>
      <c r="L104" s="6"/>
      <c r="M104" s="7"/>
      <c r="N104" s="9"/>
      <c r="O104" s="6"/>
      <c r="P104" s="6"/>
    </row>
    <row r="105" spans="1:16" ht="30.6" customHeight="1">
      <c r="A105" s="5" t="s">
        <v>158</v>
      </c>
      <c r="B105" s="6" t="s">
        <v>40</v>
      </c>
      <c r="C105" s="6">
        <v>2</v>
      </c>
      <c r="D105" s="6">
        <v>304</v>
      </c>
      <c r="E105" s="6">
        <v>718</v>
      </c>
      <c r="F105" s="6" t="s">
        <v>26</v>
      </c>
      <c r="G105" s="7">
        <v>707</v>
      </c>
      <c r="H105" s="7">
        <v>1793</v>
      </c>
      <c r="I105" s="6">
        <v>6</v>
      </c>
      <c r="J105" s="6">
        <v>8</v>
      </c>
      <c r="K105" s="6"/>
      <c r="L105" s="6"/>
      <c r="M105" s="7"/>
      <c r="N105" s="9"/>
      <c r="O105" s="6"/>
      <c r="P105" s="6"/>
    </row>
    <row r="106" spans="1:16" ht="30.6" customHeight="1">
      <c r="A106" s="5" t="s">
        <v>159</v>
      </c>
      <c r="B106" s="6" t="s">
        <v>40</v>
      </c>
      <c r="C106" s="6">
        <v>2</v>
      </c>
      <c r="D106" s="6">
        <v>11</v>
      </c>
      <c r="E106" s="6">
        <v>483.7</v>
      </c>
      <c r="F106" s="6" t="s">
        <v>26</v>
      </c>
      <c r="G106" s="7">
        <v>489</v>
      </c>
      <c r="H106" s="7">
        <v>1338</v>
      </c>
      <c r="I106" s="6">
        <v>4</v>
      </c>
      <c r="J106" s="6"/>
      <c r="K106" s="6"/>
      <c r="L106" s="6"/>
      <c r="M106" s="7"/>
      <c r="N106" s="9"/>
      <c r="O106" s="6"/>
      <c r="P106" s="6"/>
    </row>
    <row r="107" spans="1:16" ht="30.6" customHeight="1">
      <c r="A107" s="5" t="s">
        <v>159</v>
      </c>
      <c r="B107" s="6"/>
      <c r="C107" s="6">
        <v>2</v>
      </c>
      <c r="D107" s="6">
        <v>151</v>
      </c>
      <c r="E107" s="6">
        <v>323.3</v>
      </c>
      <c r="F107" s="6" t="s">
        <v>26</v>
      </c>
      <c r="G107" s="7">
        <v>311</v>
      </c>
      <c r="H107" s="7"/>
      <c r="I107" s="6"/>
      <c r="J107" s="6"/>
      <c r="K107" s="6"/>
      <c r="L107" s="6"/>
      <c r="M107" s="7"/>
      <c r="N107" s="9"/>
      <c r="O107" s="6"/>
      <c r="P107" s="6"/>
    </row>
    <row r="108" spans="1:16" ht="30.6" customHeight="1">
      <c r="A108" s="5" t="s">
        <v>160</v>
      </c>
      <c r="B108" s="6" t="s">
        <v>161</v>
      </c>
      <c r="C108" s="6">
        <v>2</v>
      </c>
      <c r="D108" s="6">
        <v>91</v>
      </c>
      <c r="E108" s="6">
        <v>492.2</v>
      </c>
      <c r="F108" s="6" t="s">
        <v>26</v>
      </c>
      <c r="G108" s="7">
        <v>489</v>
      </c>
      <c r="H108" s="7">
        <v>1180</v>
      </c>
      <c r="I108" s="6">
        <v>4</v>
      </c>
      <c r="J108" s="6">
        <v>13</v>
      </c>
      <c r="K108" s="6"/>
      <c r="L108" s="6"/>
      <c r="M108" s="7"/>
      <c r="N108" s="9"/>
      <c r="O108" s="6"/>
      <c r="P108" s="6"/>
    </row>
    <row r="109" spans="1:16" ht="30.6" customHeight="1">
      <c r="A109" s="5" t="s">
        <v>162</v>
      </c>
      <c r="B109" s="6" t="s">
        <v>40</v>
      </c>
      <c r="C109" s="6">
        <v>2</v>
      </c>
      <c r="D109" s="6">
        <v>111</v>
      </c>
      <c r="E109" s="6">
        <v>859.8</v>
      </c>
      <c r="F109" s="6" t="s">
        <v>26</v>
      </c>
      <c r="G109" s="7">
        <v>856</v>
      </c>
      <c r="H109" s="7">
        <v>2220</v>
      </c>
      <c r="I109" s="6">
        <v>7</v>
      </c>
      <c r="J109" s="6">
        <v>22</v>
      </c>
      <c r="K109" s="6"/>
      <c r="L109" s="6"/>
      <c r="M109" s="7"/>
      <c r="N109" s="9"/>
      <c r="O109" s="6"/>
      <c r="P109" s="6"/>
    </row>
    <row r="110" spans="1:16" ht="30.6" customHeight="1">
      <c r="A110" s="5" t="s">
        <v>163</v>
      </c>
      <c r="B110" s="6"/>
      <c r="C110" s="6">
        <v>2</v>
      </c>
      <c r="D110" s="6">
        <v>193</v>
      </c>
      <c r="E110" s="6">
        <v>499.5</v>
      </c>
      <c r="F110" s="6" t="s">
        <v>26</v>
      </c>
      <c r="G110" s="7">
        <v>489</v>
      </c>
      <c r="H110" s="7">
        <v>489</v>
      </c>
      <c r="I110" s="6">
        <v>1.6</v>
      </c>
      <c r="J110" s="6">
        <v>8</v>
      </c>
      <c r="K110" s="6"/>
      <c r="L110" s="6"/>
      <c r="M110" s="7"/>
      <c r="N110" s="9"/>
      <c r="O110" s="6"/>
      <c r="P110" s="6"/>
    </row>
    <row r="111" spans="1:16" ht="30.6" customHeight="1">
      <c r="A111" s="5" t="s">
        <v>164</v>
      </c>
      <c r="B111" s="6" t="s">
        <v>40</v>
      </c>
      <c r="C111" s="6">
        <v>2</v>
      </c>
      <c r="D111" s="6">
        <v>290</v>
      </c>
      <c r="E111" s="6">
        <v>479.4</v>
      </c>
      <c r="F111" s="6" t="s">
        <v>26</v>
      </c>
      <c r="G111" s="7">
        <v>479</v>
      </c>
      <c r="H111" s="7">
        <v>1368</v>
      </c>
      <c r="I111" s="6">
        <v>4</v>
      </c>
      <c r="J111" s="6">
        <v>5</v>
      </c>
      <c r="K111" s="6"/>
      <c r="L111" s="6"/>
      <c r="M111" s="7"/>
      <c r="N111" s="9"/>
      <c r="O111" s="6"/>
      <c r="P111" s="6"/>
    </row>
    <row r="112" spans="1:16" ht="30.6" customHeight="1">
      <c r="A112" s="5" t="s">
        <v>165</v>
      </c>
      <c r="B112" s="6" t="s">
        <v>40</v>
      </c>
      <c r="C112" s="6">
        <v>2</v>
      </c>
      <c r="D112" s="6">
        <v>123</v>
      </c>
      <c r="E112" s="6">
        <v>298.39999999999998</v>
      </c>
      <c r="F112" s="6" t="s">
        <v>26</v>
      </c>
      <c r="G112" s="7">
        <v>295</v>
      </c>
      <c r="H112" s="7">
        <v>915</v>
      </c>
      <c r="I112" s="6">
        <v>3</v>
      </c>
      <c r="J112" s="6">
        <v>5</v>
      </c>
      <c r="K112" s="6"/>
      <c r="L112" s="6"/>
      <c r="M112" s="7"/>
      <c r="N112" s="9"/>
      <c r="O112" s="6"/>
      <c r="P112" s="6"/>
    </row>
    <row r="113" spans="1:16" ht="30.6" customHeight="1">
      <c r="A113" s="5" t="s">
        <v>166</v>
      </c>
      <c r="B113" s="6" t="s">
        <v>31</v>
      </c>
      <c r="C113" s="6">
        <v>2</v>
      </c>
      <c r="D113" s="6">
        <v>243</v>
      </c>
      <c r="E113" s="6">
        <v>618.6</v>
      </c>
      <c r="F113" s="6" t="s">
        <v>26</v>
      </c>
      <c r="G113" s="7">
        <v>616</v>
      </c>
      <c r="H113" s="7">
        <v>1004</v>
      </c>
      <c r="I113" s="6">
        <v>3</v>
      </c>
      <c r="J113" s="6">
        <v>15</v>
      </c>
      <c r="K113" s="6"/>
      <c r="L113" s="6"/>
      <c r="M113" s="7"/>
      <c r="N113" s="9"/>
      <c r="O113" s="6"/>
      <c r="P113" s="6"/>
    </row>
    <row r="114" spans="1:16" ht="30.6" customHeight="1">
      <c r="A114" s="5" t="s">
        <v>167</v>
      </c>
      <c r="B114" s="6"/>
      <c r="C114" s="6">
        <v>2</v>
      </c>
      <c r="D114" s="6">
        <v>131</v>
      </c>
      <c r="E114" s="6">
        <v>313.3</v>
      </c>
      <c r="F114" s="6" t="s">
        <v>26</v>
      </c>
      <c r="G114" s="7">
        <v>310</v>
      </c>
      <c r="H114" s="7">
        <v>620</v>
      </c>
      <c r="I114" s="6">
        <v>2</v>
      </c>
      <c r="J114" s="6">
        <v>7</v>
      </c>
      <c r="K114" s="6"/>
      <c r="L114" s="6"/>
      <c r="M114" s="7"/>
      <c r="N114" s="9"/>
      <c r="O114" s="6"/>
      <c r="P114" s="6"/>
    </row>
    <row r="115" spans="1:16" ht="30.6" customHeight="1">
      <c r="A115" s="5" t="s">
        <v>168</v>
      </c>
      <c r="B115" s="6" t="s">
        <v>169</v>
      </c>
      <c r="C115" s="6">
        <v>2</v>
      </c>
      <c r="D115" s="6">
        <v>47</v>
      </c>
      <c r="E115" s="6">
        <v>620.1</v>
      </c>
      <c r="F115" s="6" t="s">
        <v>26</v>
      </c>
      <c r="G115" s="7">
        <v>616</v>
      </c>
      <c r="H115" s="7">
        <v>2418</v>
      </c>
      <c r="I115" s="6">
        <v>8</v>
      </c>
      <c r="J115" s="6">
        <v>10</v>
      </c>
      <c r="K115" s="6"/>
      <c r="L115" s="6"/>
      <c r="M115" s="7"/>
      <c r="N115" s="9"/>
      <c r="O115" s="6"/>
      <c r="P115" s="6"/>
    </row>
    <row r="116" spans="1:16" ht="30.6" customHeight="1">
      <c r="A116" s="5" t="s">
        <v>168</v>
      </c>
      <c r="B116" s="6"/>
      <c r="C116" s="6">
        <v>2</v>
      </c>
      <c r="D116" s="6">
        <v>146</v>
      </c>
      <c r="E116" s="6">
        <v>1131.2</v>
      </c>
      <c r="F116" s="6" t="s">
        <v>26</v>
      </c>
      <c r="G116" s="7">
        <v>1111</v>
      </c>
      <c r="H116" s="7"/>
      <c r="I116" s="6"/>
      <c r="J116" s="6"/>
      <c r="K116" s="6"/>
      <c r="L116" s="6"/>
      <c r="M116" s="7"/>
      <c r="N116" s="9"/>
      <c r="O116" s="6"/>
      <c r="P116" s="6"/>
    </row>
    <row r="117" spans="1:16" ht="30.6" customHeight="1">
      <c r="A117" s="5" t="s">
        <v>170</v>
      </c>
      <c r="B117" s="6" t="s">
        <v>171</v>
      </c>
      <c r="C117" s="6">
        <v>2</v>
      </c>
      <c r="D117" s="6">
        <v>5</v>
      </c>
      <c r="E117" s="6">
        <v>493.3</v>
      </c>
      <c r="F117" s="6" t="s">
        <v>26</v>
      </c>
      <c r="G117" s="7">
        <v>489</v>
      </c>
      <c r="H117" s="7">
        <v>1268</v>
      </c>
      <c r="I117" s="6">
        <v>4</v>
      </c>
      <c r="J117" s="6">
        <v>3</v>
      </c>
      <c r="K117" s="6"/>
      <c r="L117" s="6"/>
      <c r="M117" s="7"/>
      <c r="N117" s="9"/>
      <c r="O117" s="6"/>
      <c r="P117" s="6"/>
    </row>
    <row r="118" spans="1:16" ht="30.6" customHeight="1">
      <c r="A118" s="5" t="s">
        <v>170</v>
      </c>
      <c r="B118" s="6"/>
      <c r="C118" s="6">
        <v>2</v>
      </c>
      <c r="D118" s="6">
        <v>61</v>
      </c>
      <c r="E118" s="6">
        <v>348.4</v>
      </c>
      <c r="F118" s="6" t="s">
        <v>26</v>
      </c>
      <c r="G118" s="7">
        <v>311</v>
      </c>
      <c r="H118" s="7"/>
      <c r="I118" s="6"/>
      <c r="J118" s="6"/>
      <c r="K118" s="6"/>
      <c r="L118" s="6"/>
      <c r="M118" s="7"/>
      <c r="N118" s="9"/>
      <c r="O118" s="6"/>
      <c r="P118" s="6"/>
    </row>
    <row r="119" spans="1:16" ht="30.6" customHeight="1">
      <c r="A119" s="5" t="s">
        <v>172</v>
      </c>
      <c r="B119" s="6" t="s">
        <v>173</v>
      </c>
      <c r="C119" s="6">
        <v>2</v>
      </c>
      <c r="D119" s="6">
        <v>108</v>
      </c>
      <c r="E119" s="6">
        <v>493.9</v>
      </c>
      <c r="F119" s="6" t="s">
        <v>26</v>
      </c>
      <c r="G119" s="7">
        <v>489</v>
      </c>
      <c r="H119" s="7">
        <v>1368</v>
      </c>
      <c r="I119" s="6">
        <v>4</v>
      </c>
      <c r="J119" s="6">
        <v>6</v>
      </c>
      <c r="K119" s="6"/>
      <c r="L119" s="6"/>
      <c r="M119" s="7"/>
      <c r="N119" s="9"/>
      <c r="O119" s="6"/>
      <c r="P119" s="6"/>
    </row>
    <row r="120" spans="1:16" ht="30.6" customHeight="1">
      <c r="A120" s="5" t="s">
        <v>174</v>
      </c>
      <c r="B120" s="6" t="s">
        <v>175</v>
      </c>
      <c r="C120" s="6">
        <v>2</v>
      </c>
      <c r="D120" s="6">
        <v>12</v>
      </c>
      <c r="E120" s="6">
        <v>334.2</v>
      </c>
      <c r="F120" s="6" t="s">
        <v>26</v>
      </c>
      <c r="G120" s="7">
        <v>342</v>
      </c>
      <c r="H120" s="7">
        <v>1026</v>
      </c>
      <c r="I120" s="6">
        <v>3</v>
      </c>
      <c r="J120" s="6">
        <v>8</v>
      </c>
      <c r="K120" s="6"/>
      <c r="L120" s="6"/>
      <c r="M120" s="7"/>
      <c r="N120" s="9"/>
      <c r="O120" s="6"/>
      <c r="P120" s="6"/>
    </row>
    <row r="121" spans="1:16" ht="30.6" customHeight="1">
      <c r="A121" s="5" t="s">
        <v>174</v>
      </c>
      <c r="B121" s="6"/>
      <c r="C121" s="6">
        <v>2</v>
      </c>
      <c r="D121" s="6">
        <v>150</v>
      </c>
      <c r="E121" s="6">
        <v>360.9</v>
      </c>
      <c r="F121" s="6" t="s">
        <v>26</v>
      </c>
      <c r="G121" s="7">
        <v>342</v>
      </c>
      <c r="H121" s="7"/>
      <c r="I121" s="6"/>
      <c r="J121" s="6"/>
      <c r="K121" s="6"/>
      <c r="L121" s="6"/>
      <c r="M121" s="7"/>
      <c r="N121" s="9"/>
      <c r="O121" s="6"/>
      <c r="P121" s="6"/>
    </row>
    <row r="122" spans="1:16" ht="30.6" customHeight="1">
      <c r="A122" s="5" t="s">
        <v>176</v>
      </c>
      <c r="B122" s="6" t="s">
        <v>31</v>
      </c>
      <c r="C122" s="6">
        <v>2</v>
      </c>
      <c r="D122" s="6">
        <v>255</v>
      </c>
      <c r="E122" s="6">
        <v>618.4</v>
      </c>
      <c r="F122" s="6" t="s">
        <v>26</v>
      </c>
      <c r="G122" s="7">
        <v>616</v>
      </c>
      <c r="H122" s="7">
        <v>1004</v>
      </c>
      <c r="I122" s="6">
        <v>3</v>
      </c>
      <c r="J122" s="6">
        <v>8</v>
      </c>
      <c r="K122" s="6"/>
      <c r="L122" s="6"/>
      <c r="M122" s="7"/>
      <c r="N122" s="9"/>
      <c r="O122" s="6"/>
      <c r="P122" s="6"/>
    </row>
    <row r="123" spans="1:16" ht="30.6" customHeight="1">
      <c r="A123" s="5" t="s">
        <v>177</v>
      </c>
      <c r="B123" s="6" t="s">
        <v>178</v>
      </c>
      <c r="C123" s="6">
        <v>2</v>
      </c>
      <c r="D123" s="6">
        <v>76</v>
      </c>
      <c r="E123" s="6">
        <v>730.1</v>
      </c>
      <c r="F123" s="6" t="s">
        <v>26</v>
      </c>
      <c r="G123" s="7">
        <v>733</v>
      </c>
      <c r="H123" s="7">
        <v>1958</v>
      </c>
      <c r="I123" s="6">
        <v>6</v>
      </c>
      <c r="J123" s="6">
        <v>27</v>
      </c>
      <c r="K123" s="6"/>
      <c r="L123" s="6"/>
      <c r="M123" s="7"/>
      <c r="N123" s="9"/>
      <c r="O123" s="6"/>
      <c r="P123" s="6"/>
    </row>
    <row r="124" spans="1:16" ht="30.6" customHeight="1">
      <c r="A124" s="5" t="s">
        <v>179</v>
      </c>
      <c r="B124" s="6" t="s">
        <v>31</v>
      </c>
      <c r="C124" s="6">
        <v>2</v>
      </c>
      <c r="D124" s="6">
        <v>186</v>
      </c>
      <c r="E124" s="6">
        <v>349.4</v>
      </c>
      <c r="F124" s="6" t="s">
        <v>26</v>
      </c>
      <c r="G124" s="7">
        <v>342</v>
      </c>
      <c r="H124" s="7">
        <v>684</v>
      </c>
      <c r="I124" s="6">
        <v>2</v>
      </c>
      <c r="J124" s="6">
        <v>4</v>
      </c>
      <c r="K124" s="6"/>
      <c r="L124" s="6"/>
      <c r="M124" s="7"/>
      <c r="N124" s="9"/>
      <c r="O124" s="6"/>
      <c r="P124" s="6"/>
    </row>
    <row r="125" spans="1:16" ht="30.6" customHeight="1">
      <c r="A125" s="5" t="s">
        <v>180</v>
      </c>
      <c r="B125" s="6" t="s">
        <v>181</v>
      </c>
      <c r="C125" s="6">
        <v>2</v>
      </c>
      <c r="D125" s="6">
        <v>46</v>
      </c>
      <c r="E125" s="6">
        <v>619.1</v>
      </c>
      <c r="F125" s="6" t="s">
        <v>26</v>
      </c>
      <c r="G125" s="7">
        <v>616</v>
      </c>
      <c r="H125" s="7">
        <v>1685</v>
      </c>
      <c r="I125" s="6">
        <v>5</v>
      </c>
      <c r="J125" s="6">
        <v>14</v>
      </c>
      <c r="K125" s="6"/>
      <c r="L125" s="6"/>
      <c r="M125" s="7"/>
      <c r="N125" s="9"/>
      <c r="O125" s="6"/>
      <c r="P125" s="6"/>
    </row>
    <row r="126" spans="1:16" ht="30.6" customHeight="1">
      <c r="A126" s="5" t="s">
        <v>182</v>
      </c>
      <c r="B126" s="6" t="s">
        <v>183</v>
      </c>
      <c r="C126" s="6">
        <v>2</v>
      </c>
      <c r="D126" s="6">
        <v>71</v>
      </c>
      <c r="E126" s="6">
        <v>478</v>
      </c>
      <c r="F126" s="6" t="s">
        <v>26</v>
      </c>
      <c r="G126" s="7">
        <v>489</v>
      </c>
      <c r="H126" s="7">
        <v>1368</v>
      </c>
      <c r="I126" s="6">
        <v>4</v>
      </c>
      <c r="J126" s="6">
        <v>7</v>
      </c>
      <c r="K126" s="6"/>
      <c r="L126" s="6"/>
      <c r="M126" s="7"/>
      <c r="N126" s="9"/>
      <c r="O126" s="6"/>
      <c r="P126" s="6"/>
    </row>
    <row r="127" spans="1:16" ht="30.6" customHeight="1">
      <c r="A127" s="5" t="s">
        <v>184</v>
      </c>
      <c r="B127" s="6" t="s">
        <v>185</v>
      </c>
      <c r="C127" s="6">
        <v>2</v>
      </c>
      <c r="D127" s="6">
        <v>27</v>
      </c>
      <c r="E127" s="6">
        <v>477.9</v>
      </c>
      <c r="F127" s="6" t="s">
        <v>26</v>
      </c>
      <c r="G127" s="7">
        <v>489</v>
      </c>
      <c r="H127" s="7">
        <v>1180</v>
      </c>
      <c r="I127" s="6">
        <v>4</v>
      </c>
      <c r="J127" s="6">
        <v>6</v>
      </c>
      <c r="K127" s="6"/>
      <c r="L127" s="6"/>
      <c r="M127" s="7"/>
      <c r="N127" s="9"/>
      <c r="O127" s="6"/>
      <c r="P127" s="6"/>
    </row>
    <row r="128" spans="1:16" ht="30.6" customHeight="1">
      <c r="A128" s="5" t="s">
        <v>186</v>
      </c>
      <c r="B128" s="6" t="s">
        <v>187</v>
      </c>
      <c r="C128" s="6">
        <v>2</v>
      </c>
      <c r="D128" s="6">
        <v>78</v>
      </c>
      <c r="E128" s="6">
        <v>736.1</v>
      </c>
      <c r="F128" s="6" t="s">
        <v>26</v>
      </c>
      <c r="G128" s="7">
        <v>733</v>
      </c>
      <c r="H128" s="7">
        <v>2130.1999999999998</v>
      </c>
      <c r="I128" s="6">
        <v>7</v>
      </c>
      <c r="J128" s="6">
        <v>10</v>
      </c>
      <c r="K128" s="6"/>
      <c r="L128" s="6"/>
      <c r="M128" s="7"/>
      <c r="N128" s="9"/>
      <c r="O128" s="6"/>
      <c r="P128" s="6"/>
    </row>
    <row r="129" spans="1:16" ht="30.6" customHeight="1">
      <c r="A129" s="5" t="s">
        <v>188</v>
      </c>
      <c r="B129" s="6" t="s">
        <v>189</v>
      </c>
      <c r="C129" s="6">
        <v>2</v>
      </c>
      <c r="D129" s="6">
        <v>72</v>
      </c>
      <c r="E129" s="6">
        <v>719.5</v>
      </c>
      <c r="F129" s="6" t="s">
        <v>26</v>
      </c>
      <c r="G129" s="7">
        <v>733</v>
      </c>
      <c r="H129" s="7">
        <v>2007</v>
      </c>
      <c r="I129" s="6">
        <v>6</v>
      </c>
      <c r="J129" s="6">
        <v>13</v>
      </c>
      <c r="K129" s="6"/>
      <c r="L129" s="6"/>
      <c r="M129" s="7"/>
      <c r="N129" s="9"/>
      <c r="O129" s="6"/>
      <c r="P129" s="6"/>
    </row>
    <row r="130" spans="1:16" ht="30.6" customHeight="1">
      <c r="A130" s="5" t="s">
        <v>190</v>
      </c>
      <c r="B130" s="6" t="s">
        <v>31</v>
      </c>
      <c r="C130" s="6">
        <v>2</v>
      </c>
      <c r="D130" s="6">
        <v>194</v>
      </c>
      <c r="E130" s="6">
        <v>500.4</v>
      </c>
      <c r="F130" s="6" t="s">
        <v>26</v>
      </c>
      <c r="G130" s="7">
        <v>489</v>
      </c>
      <c r="H130" s="7">
        <v>800</v>
      </c>
      <c r="I130" s="6">
        <v>2.7</v>
      </c>
      <c r="J130" s="6"/>
      <c r="K130" s="6"/>
      <c r="L130" s="6"/>
      <c r="M130" s="7"/>
      <c r="N130" s="9"/>
      <c r="O130" s="6"/>
      <c r="P130" s="6"/>
    </row>
    <row r="131" spans="1:16" ht="30.6" customHeight="1">
      <c r="A131" s="5" t="s">
        <v>191</v>
      </c>
      <c r="B131" s="6" t="s">
        <v>192</v>
      </c>
      <c r="C131" s="6">
        <v>2</v>
      </c>
      <c r="D131" s="6">
        <v>26</v>
      </c>
      <c r="E131" s="6">
        <v>475.2</v>
      </c>
      <c r="F131" s="6" t="s">
        <v>26</v>
      </c>
      <c r="G131" s="7">
        <v>489</v>
      </c>
      <c r="H131" s="7">
        <v>1180</v>
      </c>
      <c r="I131" s="6">
        <v>6</v>
      </c>
      <c r="J131" s="6">
        <v>15</v>
      </c>
      <c r="K131" s="6"/>
      <c r="L131" s="6"/>
      <c r="M131" s="7"/>
      <c r="N131" s="9"/>
      <c r="O131" s="6"/>
      <c r="P131" s="6"/>
    </row>
    <row r="132" spans="1:16" ht="30.6" customHeight="1">
      <c r="A132" s="5" t="s">
        <v>193</v>
      </c>
      <c r="B132" s="6" t="s">
        <v>31</v>
      </c>
      <c r="C132" s="6">
        <v>2</v>
      </c>
      <c r="D132" s="6">
        <v>175</v>
      </c>
      <c r="E132" s="6">
        <v>622.29999999999995</v>
      </c>
      <c r="F132" s="6" t="s">
        <v>26</v>
      </c>
      <c r="G132" s="7">
        <v>616</v>
      </c>
      <c r="H132" s="7">
        <v>1014</v>
      </c>
      <c r="I132" s="6">
        <v>3.4</v>
      </c>
      <c r="J132" s="6">
        <v>10</v>
      </c>
      <c r="K132" s="6"/>
      <c r="L132" s="6"/>
      <c r="M132" s="7"/>
      <c r="N132" s="9"/>
      <c r="O132" s="6"/>
      <c r="P132" s="6"/>
    </row>
    <row r="133" spans="1:16" ht="30.6" customHeight="1">
      <c r="A133" s="5" t="s">
        <v>194</v>
      </c>
      <c r="B133" s="6" t="s">
        <v>31</v>
      </c>
      <c r="C133" s="6">
        <v>2</v>
      </c>
      <c r="D133" s="6">
        <v>215</v>
      </c>
      <c r="E133" s="6">
        <v>299.10000000000002</v>
      </c>
      <c r="F133" s="6" t="s">
        <v>26</v>
      </c>
      <c r="G133" s="7">
        <v>295</v>
      </c>
      <c r="H133" s="7">
        <v>590</v>
      </c>
      <c r="I133" s="6">
        <v>2</v>
      </c>
      <c r="J133" s="6">
        <v>4</v>
      </c>
      <c r="K133" s="6"/>
      <c r="L133" s="6"/>
      <c r="M133" s="7"/>
      <c r="N133" s="9"/>
      <c r="O133" s="6"/>
      <c r="P133" s="6"/>
    </row>
    <row r="134" spans="1:16" ht="30.6" customHeight="1">
      <c r="A134" s="5" t="s">
        <v>195</v>
      </c>
      <c r="B134" s="6" t="s">
        <v>196</v>
      </c>
      <c r="C134" s="6">
        <v>2</v>
      </c>
      <c r="D134" s="6">
        <v>45</v>
      </c>
      <c r="E134" s="6">
        <v>490.3</v>
      </c>
      <c r="F134" s="6" t="s">
        <v>26</v>
      </c>
      <c r="G134" s="7">
        <v>489</v>
      </c>
      <c r="H134" s="7">
        <v>1219</v>
      </c>
      <c r="I134" s="6">
        <v>4</v>
      </c>
      <c r="J134" s="6">
        <v>7</v>
      </c>
      <c r="K134" s="6"/>
      <c r="L134" s="6"/>
      <c r="M134" s="7"/>
      <c r="N134" s="9"/>
      <c r="O134" s="6"/>
      <c r="P134" s="6"/>
    </row>
    <row r="135" spans="1:16" ht="30.6" customHeight="1">
      <c r="A135" s="5" t="s">
        <v>197</v>
      </c>
      <c r="B135" s="6" t="s">
        <v>31</v>
      </c>
      <c r="C135" s="6">
        <v>2</v>
      </c>
      <c r="D135" s="6">
        <v>128</v>
      </c>
      <c r="E135" s="6">
        <v>299.7</v>
      </c>
      <c r="F135" s="6" t="s">
        <v>26</v>
      </c>
      <c r="G135" s="7">
        <v>295</v>
      </c>
      <c r="H135" s="7">
        <v>590</v>
      </c>
      <c r="I135" s="6">
        <v>2</v>
      </c>
      <c r="J135" s="6">
        <v>5</v>
      </c>
      <c r="K135" s="6"/>
      <c r="L135" s="6"/>
      <c r="M135" s="7"/>
      <c r="N135" s="9"/>
      <c r="O135" s="6"/>
      <c r="P135" s="6"/>
    </row>
    <row r="136" spans="1:16" ht="30.6" customHeight="1">
      <c r="A136" s="5" t="s">
        <v>198</v>
      </c>
      <c r="B136" s="6" t="s">
        <v>31</v>
      </c>
      <c r="C136" s="6">
        <v>2</v>
      </c>
      <c r="D136" s="6">
        <v>219</v>
      </c>
      <c r="E136" s="6">
        <v>315.39999999999998</v>
      </c>
      <c r="F136" s="6" t="s">
        <v>26</v>
      </c>
      <c r="G136" s="7">
        <v>310</v>
      </c>
      <c r="H136" s="7">
        <v>610</v>
      </c>
      <c r="I136" s="6">
        <v>2</v>
      </c>
      <c r="J136" s="6">
        <v>1</v>
      </c>
      <c r="K136" s="6"/>
      <c r="L136" s="6"/>
      <c r="M136" s="7"/>
      <c r="N136" s="9"/>
      <c r="O136" s="6"/>
      <c r="P136" s="6"/>
    </row>
    <row r="137" spans="1:16" ht="30.6" customHeight="1">
      <c r="A137" s="5" t="s">
        <v>199</v>
      </c>
      <c r="B137" s="6" t="s">
        <v>40</v>
      </c>
      <c r="C137" s="6">
        <v>2</v>
      </c>
      <c r="D137" s="6">
        <v>303</v>
      </c>
      <c r="E137" s="6">
        <v>850.5</v>
      </c>
      <c r="F137" s="6" t="s">
        <v>26</v>
      </c>
      <c r="G137" s="7">
        <v>835</v>
      </c>
      <c r="H137" s="7">
        <v>2046</v>
      </c>
      <c r="I137" s="6">
        <v>7</v>
      </c>
      <c r="J137" s="6">
        <v>22</v>
      </c>
      <c r="K137" s="6"/>
      <c r="L137" s="6"/>
      <c r="M137" s="7"/>
      <c r="N137" s="9"/>
      <c r="O137" s="6"/>
      <c r="P137" s="6"/>
    </row>
    <row r="138" spans="1:16" ht="30.6" customHeight="1">
      <c r="A138" s="5" t="s">
        <v>200</v>
      </c>
      <c r="B138" s="6" t="s">
        <v>201</v>
      </c>
      <c r="C138" s="6">
        <v>2</v>
      </c>
      <c r="D138" s="6">
        <v>138</v>
      </c>
      <c r="E138" s="6">
        <v>297.8</v>
      </c>
      <c r="F138" s="6" t="s">
        <v>26</v>
      </c>
      <c r="G138" s="7">
        <v>295</v>
      </c>
      <c r="H138" s="7">
        <v>885</v>
      </c>
      <c r="I138" s="6">
        <v>3</v>
      </c>
      <c r="J138" s="6">
        <v>6</v>
      </c>
      <c r="K138" s="6"/>
      <c r="L138" s="6"/>
      <c r="M138" s="7"/>
      <c r="N138" s="9"/>
      <c r="O138" s="6"/>
      <c r="P138" s="6"/>
    </row>
    <row r="139" spans="1:16" ht="30.6" customHeight="1">
      <c r="A139" s="5" t="s">
        <v>200</v>
      </c>
      <c r="B139" s="6"/>
      <c r="C139" s="6">
        <v>2</v>
      </c>
      <c r="D139" s="6">
        <v>162</v>
      </c>
      <c r="E139" s="6">
        <v>300.60000000000002</v>
      </c>
      <c r="F139" s="6" t="s">
        <v>26</v>
      </c>
      <c r="G139" s="7">
        <v>295</v>
      </c>
      <c r="H139" s="7"/>
      <c r="I139" s="6"/>
      <c r="J139" s="6"/>
      <c r="K139" s="6"/>
      <c r="L139" s="6"/>
      <c r="M139" s="7"/>
      <c r="N139" s="9"/>
      <c r="O139" s="6"/>
      <c r="P139" s="6"/>
    </row>
    <row r="140" spans="1:16" ht="30.6" customHeight="1">
      <c r="A140" s="5" t="s">
        <v>202</v>
      </c>
      <c r="B140" s="6" t="s">
        <v>203</v>
      </c>
      <c r="C140" s="6">
        <v>2</v>
      </c>
      <c r="D140" s="6">
        <v>110</v>
      </c>
      <c r="E140" s="6">
        <v>983.9</v>
      </c>
      <c r="F140" s="6" t="s">
        <v>26</v>
      </c>
      <c r="G140" s="7">
        <v>978</v>
      </c>
      <c r="H140" s="7">
        <v>2660</v>
      </c>
      <c r="I140" s="6">
        <v>9</v>
      </c>
      <c r="J140" s="6">
        <v>15</v>
      </c>
      <c r="K140" s="6"/>
      <c r="L140" s="6"/>
      <c r="M140" s="7"/>
      <c r="N140" s="9"/>
      <c r="O140" s="6"/>
      <c r="P140" s="6"/>
    </row>
    <row r="141" spans="1:16" ht="30.6" customHeight="1">
      <c r="A141" s="5" t="s">
        <v>204</v>
      </c>
      <c r="B141" s="6" t="s">
        <v>205</v>
      </c>
      <c r="C141" s="6">
        <v>2</v>
      </c>
      <c r="D141" s="6">
        <v>107</v>
      </c>
      <c r="E141" s="6">
        <v>299.10000000000002</v>
      </c>
      <c r="F141" s="6" t="s">
        <v>26</v>
      </c>
      <c r="G141" s="7">
        <v>295</v>
      </c>
      <c r="H141" s="7">
        <v>885</v>
      </c>
      <c r="I141" s="6">
        <v>3</v>
      </c>
      <c r="J141" s="6">
        <v>1</v>
      </c>
      <c r="K141" s="6"/>
      <c r="L141" s="6"/>
      <c r="M141" s="7"/>
      <c r="N141" s="9"/>
      <c r="O141" s="6"/>
      <c r="P141" s="6"/>
    </row>
    <row r="142" spans="1:16" ht="30.6" customHeight="1">
      <c r="A142" s="5" t="s">
        <v>206</v>
      </c>
      <c r="B142" s="6" t="s">
        <v>31</v>
      </c>
      <c r="C142" s="6">
        <v>2</v>
      </c>
      <c r="D142" s="6">
        <v>211</v>
      </c>
      <c r="E142" s="6">
        <v>618.6</v>
      </c>
      <c r="F142" s="6" t="s">
        <v>26</v>
      </c>
      <c r="G142" s="7">
        <v>616</v>
      </c>
      <c r="H142" s="7">
        <v>1004</v>
      </c>
      <c r="I142" s="6">
        <v>3.4</v>
      </c>
      <c r="J142" s="6">
        <v>13</v>
      </c>
      <c r="K142" s="6"/>
      <c r="L142" s="6"/>
      <c r="M142" s="7"/>
      <c r="N142" s="9"/>
      <c r="O142" s="6"/>
      <c r="P142" s="6"/>
    </row>
    <row r="143" spans="1:16" ht="30.6" customHeight="1">
      <c r="A143" s="5" t="s">
        <v>207</v>
      </c>
      <c r="B143" s="6"/>
      <c r="C143" s="6">
        <v>2</v>
      </c>
      <c r="D143" s="6">
        <v>272</v>
      </c>
      <c r="E143" s="6">
        <v>342.9</v>
      </c>
      <c r="F143" s="6" t="s">
        <v>26</v>
      </c>
      <c r="G143" s="7">
        <v>342</v>
      </c>
      <c r="H143" s="7">
        <v>342</v>
      </c>
      <c r="I143" s="6">
        <v>1.1000000000000001</v>
      </c>
      <c r="J143" s="6">
        <v>4</v>
      </c>
      <c r="K143" s="6"/>
      <c r="L143" s="6"/>
      <c r="M143" s="7"/>
      <c r="N143" s="9"/>
      <c r="O143" s="6"/>
      <c r="P143" s="6"/>
    </row>
    <row r="144" spans="1:16" ht="30.6" customHeight="1">
      <c r="A144" s="5" t="s">
        <v>208</v>
      </c>
      <c r="B144" s="6"/>
      <c r="C144" s="6">
        <v>2</v>
      </c>
      <c r="D144" s="6">
        <v>295</v>
      </c>
      <c r="E144" s="6">
        <v>479.8</v>
      </c>
      <c r="F144" s="6" t="s">
        <v>26</v>
      </c>
      <c r="G144" s="7">
        <v>471</v>
      </c>
      <c r="H144" s="7">
        <v>1368</v>
      </c>
      <c r="I144" s="6">
        <v>4.5999999999999996</v>
      </c>
      <c r="J144" s="6">
        <v>4</v>
      </c>
      <c r="K144" s="6"/>
      <c r="L144" s="6"/>
      <c r="M144" s="7"/>
      <c r="N144" s="9"/>
      <c r="O144" s="6"/>
      <c r="P144" s="6"/>
    </row>
    <row r="145" spans="1:16" ht="30.6" customHeight="1">
      <c r="A145" s="5" t="s">
        <v>209</v>
      </c>
      <c r="B145" s="6" t="s">
        <v>40</v>
      </c>
      <c r="C145" s="6">
        <v>2</v>
      </c>
      <c r="D145" s="6">
        <v>286</v>
      </c>
      <c r="E145" s="6">
        <v>438.2</v>
      </c>
      <c r="F145" s="6" t="s">
        <v>26</v>
      </c>
      <c r="G145" s="7">
        <v>589</v>
      </c>
      <c r="H145" s="7">
        <v>1663</v>
      </c>
      <c r="I145" s="6">
        <v>5.6</v>
      </c>
      <c r="J145" s="6">
        <v>12</v>
      </c>
      <c r="K145" s="6"/>
      <c r="L145" s="6"/>
      <c r="M145" s="7"/>
      <c r="N145" s="9"/>
      <c r="O145" s="6"/>
      <c r="P145" s="6"/>
    </row>
    <row r="146" spans="1:16" ht="30.6" customHeight="1">
      <c r="A146" s="5" t="s">
        <v>210</v>
      </c>
      <c r="B146" s="6" t="s">
        <v>211</v>
      </c>
      <c r="C146" s="6">
        <v>2</v>
      </c>
      <c r="D146" s="6">
        <v>311</v>
      </c>
      <c r="E146" s="6">
        <v>596.20000000000005</v>
      </c>
      <c r="F146" s="6" t="s">
        <v>26</v>
      </c>
      <c r="G146" s="7">
        <v>590</v>
      </c>
      <c r="H146" s="7">
        <v>590</v>
      </c>
      <c r="I146" s="6">
        <v>2</v>
      </c>
      <c r="J146" s="6">
        <v>7</v>
      </c>
      <c r="K146" s="6"/>
      <c r="L146" s="6"/>
      <c r="M146" s="7"/>
      <c r="N146" s="9"/>
      <c r="O146" s="6"/>
      <c r="P146" s="6"/>
    </row>
    <row r="147" spans="1:16" ht="30.6" customHeight="1">
      <c r="A147" s="5" t="s">
        <v>212</v>
      </c>
      <c r="B147" s="6"/>
      <c r="C147" s="6">
        <v>2</v>
      </c>
      <c r="D147" s="6">
        <v>121</v>
      </c>
      <c r="E147" s="6">
        <v>621.1</v>
      </c>
      <c r="F147" s="6" t="s">
        <v>26</v>
      </c>
      <c r="G147" s="7">
        <v>616</v>
      </c>
      <c r="H147" s="7">
        <v>1555</v>
      </c>
      <c r="I147" s="6">
        <v>5</v>
      </c>
      <c r="J147" s="6">
        <v>12</v>
      </c>
      <c r="K147" s="6"/>
      <c r="L147" s="6"/>
      <c r="M147" s="7"/>
      <c r="N147" s="9"/>
      <c r="O147" s="6"/>
      <c r="P147" s="6"/>
    </row>
    <row r="148" spans="1:16" ht="30.6" customHeight="1">
      <c r="A148" s="5" t="s">
        <v>213</v>
      </c>
      <c r="B148" s="6" t="s">
        <v>31</v>
      </c>
      <c r="C148" s="6">
        <v>2</v>
      </c>
      <c r="D148" s="6">
        <v>241</v>
      </c>
      <c r="E148" s="6">
        <v>501.6</v>
      </c>
      <c r="F148" s="6" t="s">
        <v>26</v>
      </c>
      <c r="G148" s="7">
        <v>489</v>
      </c>
      <c r="H148" s="7">
        <v>800</v>
      </c>
      <c r="I148" s="6">
        <v>2.7</v>
      </c>
      <c r="J148" s="6">
        <v>9</v>
      </c>
      <c r="K148" s="6"/>
      <c r="L148" s="6"/>
      <c r="M148" s="7"/>
      <c r="N148" s="9"/>
      <c r="O148" s="6"/>
      <c r="P148" s="6"/>
    </row>
    <row r="149" spans="1:16" ht="30.6" customHeight="1">
      <c r="A149" s="5" t="s">
        <v>214</v>
      </c>
      <c r="B149" s="6" t="s">
        <v>31</v>
      </c>
      <c r="C149" s="6">
        <v>2</v>
      </c>
      <c r="D149" s="6">
        <v>189</v>
      </c>
      <c r="E149" s="6">
        <v>478.1</v>
      </c>
      <c r="F149" s="6" t="s">
        <v>26</v>
      </c>
      <c r="G149" s="7">
        <v>468</v>
      </c>
      <c r="H149" s="7">
        <v>795</v>
      </c>
      <c r="I149" s="6">
        <v>2</v>
      </c>
      <c r="J149" s="6">
        <v>7</v>
      </c>
      <c r="K149" s="6"/>
      <c r="L149" s="6"/>
      <c r="M149" s="7"/>
      <c r="N149" s="9"/>
      <c r="O149" s="6"/>
      <c r="P149" s="6"/>
    </row>
    <row r="150" spans="1:16" ht="30.6" customHeight="1">
      <c r="A150" s="5" t="s">
        <v>215</v>
      </c>
      <c r="B150" s="6"/>
      <c r="C150" s="6">
        <v>2</v>
      </c>
      <c r="D150" s="6">
        <v>212</v>
      </c>
      <c r="E150" s="6">
        <v>490.9</v>
      </c>
      <c r="F150" s="6" t="s">
        <v>26</v>
      </c>
      <c r="G150" s="7"/>
      <c r="H150" s="7"/>
      <c r="I150" s="6"/>
      <c r="J150" s="6" t="s">
        <v>216</v>
      </c>
      <c r="K150" s="6"/>
      <c r="L150" s="6"/>
      <c r="M150" s="7"/>
      <c r="N150" s="9"/>
      <c r="O150" s="6"/>
      <c r="P150" s="6"/>
    </row>
    <row r="151" spans="1:16" ht="30.6" customHeight="1">
      <c r="A151" s="5" t="s">
        <v>215</v>
      </c>
      <c r="B151" s="6" t="s">
        <v>31</v>
      </c>
      <c r="C151" s="6">
        <v>2</v>
      </c>
      <c r="D151" s="6">
        <v>214</v>
      </c>
      <c r="E151" s="6">
        <v>622.4</v>
      </c>
      <c r="F151" s="6" t="s">
        <v>26</v>
      </c>
      <c r="G151" s="7">
        <v>616</v>
      </c>
      <c r="H151" s="7">
        <v>1004</v>
      </c>
      <c r="I151" s="6">
        <v>3.4</v>
      </c>
      <c r="J151" s="6">
        <v>11</v>
      </c>
      <c r="K151" s="6"/>
      <c r="L151" s="6"/>
      <c r="M151" s="7"/>
      <c r="N151" s="9"/>
      <c r="O151" s="6"/>
      <c r="P151" s="6"/>
    </row>
    <row r="152" spans="1:16" ht="30.6" customHeight="1">
      <c r="A152" s="5" t="s">
        <v>217</v>
      </c>
      <c r="B152" s="6"/>
      <c r="C152" s="6">
        <v>2</v>
      </c>
      <c r="D152" s="6">
        <v>161</v>
      </c>
      <c r="E152" s="6">
        <v>364.5</v>
      </c>
      <c r="F152" s="6" t="s">
        <v>26</v>
      </c>
      <c r="G152" s="7">
        <v>360</v>
      </c>
      <c r="H152" s="7">
        <v>1</v>
      </c>
      <c r="I152" s="6"/>
      <c r="J152" s="6"/>
      <c r="K152" s="6"/>
      <c r="L152" s="6"/>
      <c r="M152" s="7"/>
      <c r="N152" s="9"/>
      <c r="O152" s="6"/>
      <c r="P152" s="6"/>
    </row>
    <row r="153" spans="1:16" ht="30.6" customHeight="1">
      <c r="A153" s="5" t="s">
        <v>218</v>
      </c>
      <c r="B153" s="6" t="s">
        <v>31</v>
      </c>
      <c r="C153" s="6">
        <v>2</v>
      </c>
      <c r="D153" s="6">
        <v>259</v>
      </c>
      <c r="E153" s="6">
        <v>295.8</v>
      </c>
      <c r="F153" s="6" t="s">
        <v>26</v>
      </c>
      <c r="G153" s="7">
        <v>295</v>
      </c>
      <c r="H153" s="7">
        <v>590</v>
      </c>
      <c r="I153" s="6">
        <v>2</v>
      </c>
      <c r="J153" s="6">
        <v>7</v>
      </c>
      <c r="K153" s="6"/>
      <c r="L153" s="6"/>
      <c r="M153" s="7"/>
      <c r="N153" s="9"/>
      <c r="O153" s="6"/>
      <c r="P153" s="6"/>
    </row>
    <row r="154" spans="1:16" ht="30.6" customHeight="1">
      <c r="A154" s="5" t="s">
        <v>219</v>
      </c>
      <c r="B154" s="6" t="s">
        <v>220</v>
      </c>
      <c r="C154" s="6">
        <v>2</v>
      </c>
      <c r="D154" s="6">
        <v>52</v>
      </c>
      <c r="E154" s="6">
        <v>397.4</v>
      </c>
      <c r="F154" s="6" t="s">
        <v>26</v>
      </c>
      <c r="G154" s="7">
        <v>397</v>
      </c>
      <c r="H154" s="7">
        <v>1955</v>
      </c>
      <c r="I154" s="6">
        <v>6</v>
      </c>
      <c r="J154" s="6">
        <v>12</v>
      </c>
      <c r="K154" s="6"/>
      <c r="L154" s="6"/>
      <c r="M154" s="7"/>
      <c r="N154" s="9"/>
      <c r="O154" s="6"/>
      <c r="P154" s="6"/>
    </row>
    <row r="155" spans="1:16" ht="30.6" customHeight="1">
      <c r="A155" s="5" t="s">
        <v>219</v>
      </c>
      <c r="B155" s="6"/>
      <c r="C155" s="6">
        <v>2</v>
      </c>
      <c r="D155" s="6">
        <v>65</v>
      </c>
      <c r="E155" s="6">
        <v>374.8</v>
      </c>
      <c r="F155" s="6" t="s">
        <v>26</v>
      </c>
      <c r="G155" s="7">
        <v>395</v>
      </c>
      <c r="H155" s="7"/>
      <c r="I155" s="6"/>
      <c r="J155" s="6"/>
      <c r="K155" s="6"/>
      <c r="L155" s="6"/>
      <c r="M155" s="7"/>
      <c r="N155" s="9"/>
      <c r="O155" s="6"/>
      <c r="P155" s="6"/>
    </row>
    <row r="156" spans="1:16" ht="30.6" customHeight="1">
      <c r="A156" s="5" t="s">
        <v>221</v>
      </c>
      <c r="B156" s="6" t="s">
        <v>222</v>
      </c>
      <c r="C156" s="6">
        <v>2</v>
      </c>
      <c r="D156" s="6">
        <v>70</v>
      </c>
      <c r="E156" s="6">
        <v>593.4</v>
      </c>
      <c r="F156" s="6" t="s">
        <v>26</v>
      </c>
      <c r="G156" s="7">
        <v>611</v>
      </c>
      <c r="H156" s="7">
        <v>1534</v>
      </c>
      <c r="I156" s="6">
        <v>5</v>
      </c>
      <c r="J156" s="6">
        <v>13</v>
      </c>
      <c r="K156" s="6"/>
      <c r="L156" s="6"/>
      <c r="M156" s="7"/>
      <c r="N156" s="9"/>
      <c r="O156" s="6"/>
      <c r="P156" s="6"/>
    </row>
    <row r="157" spans="1:16" ht="30.6" customHeight="1">
      <c r="A157" s="5" t="s">
        <v>223</v>
      </c>
      <c r="B157" s="6"/>
      <c r="C157" s="6">
        <v>2</v>
      </c>
      <c r="D157" s="6">
        <v>291</v>
      </c>
      <c r="E157" s="6">
        <v>594.6</v>
      </c>
      <c r="F157" s="6" t="s">
        <v>26</v>
      </c>
      <c r="G157" s="7">
        <v>582</v>
      </c>
      <c r="H157" s="7">
        <v>582</v>
      </c>
      <c r="I157" s="6">
        <v>1.7</v>
      </c>
      <c r="J157" s="6">
        <v>9</v>
      </c>
      <c r="K157" s="6"/>
      <c r="L157" s="6"/>
      <c r="M157" s="7"/>
      <c r="N157" s="9"/>
      <c r="O157" s="6"/>
      <c r="P157" s="6"/>
    </row>
    <row r="158" spans="1:16" ht="30.6" customHeight="1">
      <c r="A158" s="5" t="s">
        <v>224</v>
      </c>
      <c r="B158" s="6" t="s">
        <v>31</v>
      </c>
      <c r="C158" s="6">
        <v>2</v>
      </c>
      <c r="D158" s="6">
        <v>127</v>
      </c>
      <c r="E158" s="6">
        <v>298.39999999999998</v>
      </c>
      <c r="F158" s="6" t="s">
        <v>26</v>
      </c>
      <c r="G158" s="7">
        <v>295</v>
      </c>
      <c r="H158" s="7">
        <v>590</v>
      </c>
      <c r="I158" s="6">
        <v>2</v>
      </c>
      <c r="J158" s="6"/>
      <c r="K158" s="6"/>
      <c r="L158" s="6"/>
      <c r="M158" s="7"/>
      <c r="N158" s="9"/>
      <c r="O158" s="6"/>
      <c r="P158" s="6"/>
    </row>
    <row r="159" spans="1:16" ht="30.6" customHeight="1">
      <c r="A159" s="5" t="s">
        <v>225</v>
      </c>
      <c r="B159" s="6" t="s">
        <v>226</v>
      </c>
      <c r="C159" s="6">
        <v>2</v>
      </c>
      <c r="D159" s="6">
        <v>22</v>
      </c>
      <c r="E159" s="6">
        <v>827.3</v>
      </c>
      <c r="F159" s="6" t="s">
        <v>26</v>
      </c>
      <c r="G159" s="7">
        <v>856</v>
      </c>
      <c r="H159" s="7">
        <v>2346</v>
      </c>
      <c r="I159" s="6">
        <v>8</v>
      </c>
      <c r="J159" s="6">
        <v>14</v>
      </c>
      <c r="K159" s="6"/>
      <c r="L159" s="6"/>
      <c r="M159" s="7"/>
      <c r="N159" s="9"/>
      <c r="O159" s="6"/>
      <c r="P159" s="6"/>
    </row>
    <row r="160" spans="1:16" ht="30.6" customHeight="1">
      <c r="A160" s="5" t="s">
        <v>227</v>
      </c>
      <c r="B160" s="6" t="s">
        <v>228</v>
      </c>
      <c r="C160" s="6">
        <v>2</v>
      </c>
      <c r="D160" s="6">
        <v>285</v>
      </c>
      <c r="E160" s="6">
        <v>591.29999999999995</v>
      </c>
      <c r="F160" s="6" t="s">
        <v>26</v>
      </c>
      <c r="G160" s="7">
        <v>532</v>
      </c>
      <c r="H160" s="7">
        <v>1263.4000000000001</v>
      </c>
      <c r="I160" s="6">
        <v>4.28</v>
      </c>
      <c r="J160" s="6">
        <v>11</v>
      </c>
      <c r="K160" s="6"/>
      <c r="L160" s="6"/>
      <c r="M160" s="7"/>
      <c r="N160" s="9"/>
      <c r="O160" s="6"/>
      <c r="P160" s="6"/>
    </row>
    <row r="161" spans="1:16" ht="30.6" customHeight="1">
      <c r="A161" s="5" t="s">
        <v>229</v>
      </c>
      <c r="B161" s="6" t="s">
        <v>31</v>
      </c>
      <c r="C161" s="6">
        <v>2</v>
      </c>
      <c r="D161" s="6">
        <v>190</v>
      </c>
      <c r="E161" s="6">
        <v>323.89999999999998</v>
      </c>
      <c r="F161" s="6" t="s">
        <v>26</v>
      </c>
      <c r="G161" s="7">
        <v>316</v>
      </c>
      <c r="H161" s="7">
        <v>632</v>
      </c>
      <c r="I161" s="6">
        <v>2.1</v>
      </c>
      <c r="J161" s="6">
        <v>7</v>
      </c>
      <c r="K161" s="6"/>
      <c r="L161" s="6"/>
      <c r="M161" s="7"/>
      <c r="N161" s="9"/>
      <c r="O161" s="6"/>
      <c r="P161" s="6"/>
    </row>
    <row r="162" spans="1:16" ht="30.6" customHeight="1">
      <c r="A162" s="5" t="s">
        <v>230</v>
      </c>
      <c r="B162" s="6" t="s">
        <v>31</v>
      </c>
      <c r="C162" s="6">
        <v>2</v>
      </c>
      <c r="D162" s="6">
        <v>236</v>
      </c>
      <c r="E162" s="6">
        <v>745.5</v>
      </c>
      <c r="F162" s="6" t="s">
        <v>26</v>
      </c>
      <c r="G162" s="7">
        <v>739</v>
      </c>
      <c r="H162" s="7">
        <v>1203</v>
      </c>
      <c r="I162" s="6">
        <v>4</v>
      </c>
      <c r="J162" s="6">
        <v>10</v>
      </c>
      <c r="K162" s="6"/>
      <c r="L162" s="6"/>
      <c r="M162" s="7"/>
      <c r="N162" s="9"/>
      <c r="O162" s="6"/>
      <c r="P162" s="6"/>
    </row>
    <row r="163" spans="1:16" ht="30.6" customHeight="1">
      <c r="A163" s="5" t="s">
        <v>231</v>
      </c>
      <c r="B163" s="6" t="s">
        <v>31</v>
      </c>
      <c r="C163" s="6">
        <v>2</v>
      </c>
      <c r="D163" s="6">
        <v>253</v>
      </c>
      <c r="E163" s="6">
        <v>616.79999999999995</v>
      </c>
      <c r="F163" s="6" t="s">
        <v>26</v>
      </c>
      <c r="G163" s="7">
        <v>616</v>
      </c>
      <c r="H163" s="7">
        <v>1004</v>
      </c>
      <c r="I163" s="6">
        <v>3.4</v>
      </c>
      <c r="J163" s="6">
        <v>18</v>
      </c>
      <c r="K163" s="6"/>
      <c r="L163" s="6"/>
      <c r="M163" s="7"/>
      <c r="N163" s="9"/>
      <c r="O163" s="6"/>
      <c r="P163" s="6"/>
    </row>
    <row r="164" spans="1:16" ht="30.6" customHeight="1">
      <c r="A164" s="5" t="s">
        <v>232</v>
      </c>
      <c r="B164" s="6" t="s">
        <v>31</v>
      </c>
      <c r="C164" s="6">
        <v>2</v>
      </c>
      <c r="D164" s="6">
        <v>231</v>
      </c>
      <c r="E164" s="6">
        <v>870.4</v>
      </c>
      <c r="F164" s="6" t="s">
        <v>26</v>
      </c>
      <c r="G164" s="7">
        <v>856</v>
      </c>
      <c r="H164" s="7">
        <v>1420</v>
      </c>
      <c r="I164" s="6">
        <v>4</v>
      </c>
      <c r="J164" s="6">
        <v>10</v>
      </c>
      <c r="K164" s="6"/>
      <c r="L164" s="6"/>
      <c r="M164" s="7"/>
      <c r="N164" s="9"/>
      <c r="O164" s="6"/>
      <c r="P164" s="6"/>
    </row>
    <row r="165" spans="1:16" ht="30.6" customHeight="1">
      <c r="A165" s="5" t="s">
        <v>233</v>
      </c>
      <c r="B165" s="6" t="s">
        <v>31</v>
      </c>
      <c r="C165" s="6">
        <v>2</v>
      </c>
      <c r="D165" s="6">
        <v>230</v>
      </c>
      <c r="E165" s="6">
        <v>747.9</v>
      </c>
      <c r="F165" s="6" t="s">
        <v>26</v>
      </c>
      <c r="G165" s="7">
        <v>733</v>
      </c>
      <c r="H165" s="7">
        <v>1199</v>
      </c>
      <c r="I165" s="6">
        <v>4</v>
      </c>
      <c r="J165" s="6">
        <v>16</v>
      </c>
      <c r="K165" s="6"/>
      <c r="L165" s="6"/>
      <c r="M165" s="7"/>
      <c r="N165" s="9"/>
      <c r="O165" s="6"/>
      <c r="P165" s="6"/>
    </row>
    <row r="166" spans="1:16" ht="30.6" customHeight="1">
      <c r="A166" s="5" t="s">
        <v>234</v>
      </c>
      <c r="B166" s="6"/>
      <c r="C166" s="6">
        <v>2</v>
      </c>
      <c r="D166" s="6">
        <v>294</v>
      </c>
      <c r="E166" s="6">
        <v>336.3</v>
      </c>
      <c r="F166" s="6" t="s">
        <v>26</v>
      </c>
      <c r="G166" s="7">
        <v>320</v>
      </c>
      <c r="H166" s="7">
        <v>674</v>
      </c>
      <c r="I166" s="6">
        <v>2</v>
      </c>
      <c r="J166" s="6">
        <v>3</v>
      </c>
      <c r="K166" s="6"/>
      <c r="L166" s="6"/>
      <c r="M166" s="7"/>
      <c r="N166" s="9"/>
      <c r="O166" s="6"/>
      <c r="P166" s="6"/>
    </row>
    <row r="167" spans="1:16" ht="30.6" customHeight="1">
      <c r="A167" s="5" t="s">
        <v>235</v>
      </c>
      <c r="B167" s="6" t="s">
        <v>40</v>
      </c>
      <c r="C167" s="6">
        <v>2</v>
      </c>
      <c r="D167" s="6">
        <v>67</v>
      </c>
      <c r="E167" s="6">
        <v>815</v>
      </c>
      <c r="F167" s="6" t="s">
        <v>26</v>
      </c>
      <c r="G167" s="7">
        <v>856</v>
      </c>
      <c r="H167" s="7">
        <v>2394</v>
      </c>
      <c r="I167" s="6">
        <v>8.1</v>
      </c>
      <c r="J167" s="6">
        <v>11</v>
      </c>
      <c r="K167" s="6"/>
      <c r="L167" s="6"/>
      <c r="M167" s="7"/>
      <c r="N167" s="9"/>
      <c r="O167" s="6"/>
      <c r="P167" s="6"/>
    </row>
    <row r="168" spans="1:16" ht="30.6" customHeight="1">
      <c r="A168" s="5" t="s">
        <v>236</v>
      </c>
      <c r="B168" s="6"/>
      <c r="C168" s="6">
        <v>2</v>
      </c>
      <c r="D168" s="6">
        <v>269</v>
      </c>
      <c r="E168" s="6">
        <v>306.3</v>
      </c>
      <c r="F168" s="6" t="s">
        <v>26</v>
      </c>
      <c r="G168" s="7">
        <v>295</v>
      </c>
      <c r="H168" s="7">
        <v>295</v>
      </c>
      <c r="I168" s="6">
        <v>1</v>
      </c>
      <c r="J168" s="6"/>
      <c r="K168" s="6"/>
      <c r="L168" s="6"/>
      <c r="M168" s="7"/>
      <c r="N168" s="9"/>
      <c r="O168" s="6"/>
      <c r="P168" s="6"/>
    </row>
    <row r="169" spans="1:16" ht="30.6" customHeight="1">
      <c r="A169" s="5" t="s">
        <v>237</v>
      </c>
      <c r="B169" s="6"/>
      <c r="C169" s="6">
        <v>2</v>
      </c>
      <c r="D169" s="6">
        <v>117</v>
      </c>
      <c r="E169" s="6">
        <v>863.6</v>
      </c>
      <c r="F169" s="6" t="s">
        <v>26</v>
      </c>
      <c r="G169" s="7">
        <v>856</v>
      </c>
      <c r="H169" s="7">
        <v>2134</v>
      </c>
      <c r="I169" s="6">
        <v>7.2</v>
      </c>
      <c r="J169" s="6">
        <v>24</v>
      </c>
      <c r="K169" s="6"/>
      <c r="L169" s="6"/>
      <c r="M169" s="7"/>
      <c r="N169" s="9"/>
      <c r="O169" s="6"/>
      <c r="P169" s="6"/>
    </row>
    <row r="170" spans="1:16" ht="30.6" customHeight="1">
      <c r="A170" s="5" t="s">
        <v>238</v>
      </c>
      <c r="B170" s="6" t="s">
        <v>31</v>
      </c>
      <c r="C170" s="6">
        <v>2</v>
      </c>
      <c r="D170" s="6">
        <v>244</v>
      </c>
      <c r="E170" s="6">
        <v>325.8</v>
      </c>
      <c r="F170" s="6" t="s">
        <v>26</v>
      </c>
      <c r="G170" s="7">
        <v>325</v>
      </c>
      <c r="H170" s="7">
        <v>650</v>
      </c>
      <c r="I170" s="6">
        <v>2</v>
      </c>
      <c r="J170" s="6">
        <v>7</v>
      </c>
      <c r="K170" s="6"/>
      <c r="L170" s="6"/>
      <c r="M170" s="7"/>
      <c r="N170" s="9"/>
      <c r="O170" s="6"/>
      <c r="P170" s="6"/>
    </row>
    <row r="171" spans="1:16" ht="30.6" customHeight="1">
      <c r="A171" s="5" t="s">
        <v>239</v>
      </c>
      <c r="B171" s="6" t="s">
        <v>31</v>
      </c>
      <c r="C171" s="6">
        <v>2</v>
      </c>
      <c r="D171" s="6">
        <v>264</v>
      </c>
      <c r="E171" s="6">
        <v>753.1</v>
      </c>
      <c r="F171" s="6" t="s">
        <v>26</v>
      </c>
      <c r="G171" s="7">
        <v>743</v>
      </c>
      <c r="H171" s="7">
        <v>1209</v>
      </c>
      <c r="I171" s="6">
        <v>4</v>
      </c>
      <c r="J171" s="6">
        <v>16</v>
      </c>
      <c r="K171" s="6"/>
      <c r="L171" s="6"/>
      <c r="M171" s="7"/>
      <c r="N171" s="9"/>
      <c r="O171" s="6"/>
      <c r="P171" s="6"/>
    </row>
    <row r="172" spans="1:16" ht="30.6" customHeight="1">
      <c r="A172" s="5" t="s">
        <v>240</v>
      </c>
      <c r="B172" s="6" t="s">
        <v>31</v>
      </c>
      <c r="C172" s="6">
        <v>2</v>
      </c>
      <c r="D172" s="6">
        <v>301</v>
      </c>
      <c r="E172" s="6">
        <v>602</v>
      </c>
      <c r="F172" s="6" t="s">
        <v>26</v>
      </c>
      <c r="G172" s="7">
        <v>589</v>
      </c>
      <c r="H172" s="7">
        <v>1677</v>
      </c>
      <c r="I172" s="6"/>
      <c r="J172" s="6">
        <v>17</v>
      </c>
      <c r="K172" s="6"/>
      <c r="L172" s="6"/>
      <c r="M172" s="7"/>
      <c r="N172" s="9"/>
      <c r="O172" s="6"/>
      <c r="P172" s="6"/>
    </row>
    <row r="173" spans="1:16" ht="30.6" customHeight="1">
      <c r="A173" s="5" t="s">
        <v>241</v>
      </c>
      <c r="B173" s="6" t="s">
        <v>242</v>
      </c>
      <c r="C173" s="6">
        <v>2</v>
      </c>
      <c r="D173" s="6">
        <v>102</v>
      </c>
      <c r="E173" s="6">
        <v>333.5</v>
      </c>
      <c r="F173" s="6" t="s">
        <v>26</v>
      </c>
      <c r="G173" s="7">
        <v>327</v>
      </c>
      <c r="H173" s="7">
        <v>981</v>
      </c>
      <c r="I173" s="6">
        <v>3</v>
      </c>
      <c r="J173" s="6">
        <v>11</v>
      </c>
      <c r="K173" s="6"/>
      <c r="L173" s="6"/>
      <c r="M173" s="7"/>
      <c r="N173" s="9"/>
      <c r="O173" s="6"/>
      <c r="P173" s="6"/>
    </row>
    <row r="174" spans="1:16" ht="30.6" customHeight="1">
      <c r="A174" s="5" t="s">
        <v>243</v>
      </c>
      <c r="B174" s="6" t="s">
        <v>31</v>
      </c>
      <c r="C174" s="6">
        <v>2</v>
      </c>
      <c r="D174" s="6">
        <v>98</v>
      </c>
      <c r="E174" s="6">
        <v>498.2</v>
      </c>
      <c r="F174" s="6" t="s">
        <v>26</v>
      </c>
      <c r="G174" s="7">
        <v>489</v>
      </c>
      <c r="H174" s="7">
        <v>1050</v>
      </c>
      <c r="I174" s="6">
        <v>3.5</v>
      </c>
      <c r="J174" s="6">
        <v>9</v>
      </c>
      <c r="K174" s="6"/>
      <c r="L174" s="6"/>
      <c r="M174" s="7"/>
      <c r="N174" s="9"/>
      <c r="O174" s="6"/>
      <c r="P174" s="6"/>
    </row>
    <row r="175" spans="1:16" ht="30.6" customHeight="1">
      <c r="A175" s="5" t="s">
        <v>244</v>
      </c>
      <c r="B175" s="6" t="s">
        <v>245</v>
      </c>
      <c r="C175" s="6">
        <v>2</v>
      </c>
      <c r="D175" s="6">
        <v>3</v>
      </c>
      <c r="E175" s="6">
        <v>720.1</v>
      </c>
      <c r="F175" s="6" t="s">
        <v>26</v>
      </c>
      <c r="G175" s="7">
        <v>720</v>
      </c>
      <c r="H175" s="7">
        <v>1445</v>
      </c>
      <c r="I175" s="6">
        <v>8</v>
      </c>
      <c r="J175" s="6">
        <v>11</v>
      </c>
      <c r="K175" s="6"/>
      <c r="L175" s="6"/>
      <c r="M175" s="7"/>
      <c r="N175" s="9"/>
      <c r="O175" s="6"/>
      <c r="P175" s="6"/>
    </row>
    <row r="176" spans="1:16" ht="30.6" customHeight="1">
      <c r="A176" s="5" t="s">
        <v>246</v>
      </c>
      <c r="B176" s="6" t="s">
        <v>40</v>
      </c>
      <c r="C176" s="6">
        <v>2</v>
      </c>
      <c r="D176" s="6">
        <v>39</v>
      </c>
      <c r="E176" s="6">
        <v>312.5</v>
      </c>
      <c r="F176" s="6" t="s">
        <v>26</v>
      </c>
      <c r="G176" s="7">
        <v>315</v>
      </c>
      <c r="H176" s="7">
        <v>945</v>
      </c>
      <c r="I176" s="6">
        <v>3.2</v>
      </c>
      <c r="J176" s="6">
        <v>7</v>
      </c>
      <c r="K176" s="6"/>
      <c r="L176" s="6"/>
      <c r="M176" s="7"/>
      <c r="N176" s="9"/>
      <c r="O176" s="6"/>
      <c r="P176" s="6"/>
    </row>
    <row r="177" spans="1:16" ht="30.6" customHeight="1">
      <c r="A177" s="5" t="s">
        <v>247</v>
      </c>
      <c r="B177" s="6" t="s">
        <v>248</v>
      </c>
      <c r="C177" s="6">
        <v>2</v>
      </c>
      <c r="D177" s="6">
        <v>31</v>
      </c>
      <c r="E177" s="6">
        <v>715.9</v>
      </c>
      <c r="F177" s="6" t="s">
        <v>26</v>
      </c>
      <c r="G177" s="7">
        <v>733</v>
      </c>
      <c r="H177" s="7">
        <v>1770</v>
      </c>
      <c r="I177" s="6">
        <v>6</v>
      </c>
      <c r="J177" s="6">
        <v>14</v>
      </c>
      <c r="K177" s="6"/>
      <c r="L177" s="6"/>
      <c r="M177" s="7"/>
      <c r="N177" s="9"/>
      <c r="O177" s="6"/>
      <c r="P177" s="6"/>
    </row>
    <row r="178" spans="1:16" ht="30.6" customHeight="1">
      <c r="A178" s="5" t="s">
        <v>249</v>
      </c>
      <c r="B178" s="6" t="s">
        <v>40</v>
      </c>
      <c r="C178" s="6">
        <v>2</v>
      </c>
      <c r="D178" s="6">
        <v>100</v>
      </c>
      <c r="E178" s="6">
        <v>1118.2</v>
      </c>
      <c r="F178" s="6" t="s">
        <v>26</v>
      </c>
      <c r="G178" s="7">
        <v>1253</v>
      </c>
      <c r="H178" s="7">
        <v>3073</v>
      </c>
      <c r="I178" s="6">
        <v>10.42</v>
      </c>
      <c r="J178" s="6">
        <v>24</v>
      </c>
      <c r="K178" s="6"/>
      <c r="L178" s="6"/>
      <c r="M178" s="7"/>
      <c r="N178" s="9"/>
      <c r="O178" s="6"/>
      <c r="P178" s="6"/>
    </row>
    <row r="179" spans="1:16" ht="30.6" customHeight="1">
      <c r="A179" s="5" t="s">
        <v>250</v>
      </c>
      <c r="B179" s="6" t="s">
        <v>31</v>
      </c>
      <c r="C179" s="6">
        <v>2</v>
      </c>
      <c r="D179" s="6">
        <v>167</v>
      </c>
      <c r="E179" s="6">
        <v>348.8</v>
      </c>
      <c r="F179" s="6" t="s">
        <v>26</v>
      </c>
      <c r="G179" s="7">
        <v>342</v>
      </c>
      <c r="H179" s="7">
        <v>684</v>
      </c>
      <c r="I179" s="6">
        <v>2.2999999999999998</v>
      </c>
      <c r="J179" s="6">
        <v>7</v>
      </c>
      <c r="K179" s="6"/>
      <c r="L179" s="6"/>
      <c r="M179" s="7"/>
      <c r="N179" s="9"/>
      <c r="O179" s="6"/>
      <c r="P179" s="6"/>
    </row>
    <row r="180" spans="1:16" ht="30.6" customHeight="1">
      <c r="A180" s="5" t="s">
        <v>251</v>
      </c>
      <c r="B180" s="6" t="s">
        <v>31</v>
      </c>
      <c r="C180" s="6">
        <v>2</v>
      </c>
      <c r="D180" s="6">
        <v>306</v>
      </c>
      <c r="E180" s="6">
        <v>346.8</v>
      </c>
      <c r="F180" s="6" t="s">
        <v>26</v>
      </c>
      <c r="G180" s="7">
        <v>342</v>
      </c>
      <c r="H180" s="7">
        <v>684</v>
      </c>
      <c r="I180" s="6">
        <v>2</v>
      </c>
      <c r="J180" s="6">
        <v>8</v>
      </c>
      <c r="K180" s="6"/>
      <c r="L180" s="6"/>
      <c r="M180" s="7"/>
      <c r="N180" s="9"/>
      <c r="O180" s="6"/>
      <c r="P180" s="6"/>
    </row>
    <row r="181" spans="1:16" ht="30.6" customHeight="1">
      <c r="A181" s="5" t="s">
        <v>252</v>
      </c>
      <c r="B181" s="6"/>
      <c r="C181" s="6">
        <v>2</v>
      </c>
      <c r="D181" s="6">
        <v>164</v>
      </c>
      <c r="E181" s="6">
        <v>297.3</v>
      </c>
      <c r="F181" s="6" t="s">
        <v>26</v>
      </c>
      <c r="G181" s="7">
        <v>342</v>
      </c>
      <c r="H181" s="7">
        <v>342</v>
      </c>
      <c r="I181" s="6">
        <v>1.1000000000000001</v>
      </c>
      <c r="J181" s="6"/>
      <c r="K181" s="6"/>
      <c r="L181" s="6"/>
      <c r="M181" s="7"/>
      <c r="N181" s="9"/>
      <c r="O181" s="6"/>
      <c r="P181" s="6"/>
    </row>
    <row r="182" spans="1:16" ht="30.6" customHeight="1">
      <c r="A182" s="5" t="s">
        <v>253</v>
      </c>
      <c r="B182" s="6" t="s">
        <v>254</v>
      </c>
      <c r="C182" s="6">
        <v>2</v>
      </c>
      <c r="D182" s="6">
        <v>58</v>
      </c>
      <c r="E182" s="6">
        <v>343.2</v>
      </c>
      <c r="F182" s="6" t="s">
        <v>26</v>
      </c>
      <c r="G182" s="7">
        <v>388</v>
      </c>
      <c r="H182" s="7">
        <v>1788</v>
      </c>
      <c r="I182" s="6">
        <v>6</v>
      </c>
      <c r="J182" s="6">
        <v>16</v>
      </c>
      <c r="K182" s="6"/>
      <c r="L182" s="6"/>
      <c r="M182" s="7"/>
      <c r="N182" s="9"/>
      <c r="O182" s="6"/>
      <c r="P182" s="6"/>
    </row>
    <row r="183" spans="1:16" ht="30.6" customHeight="1">
      <c r="A183" s="5" t="s">
        <v>253</v>
      </c>
      <c r="B183" s="6"/>
      <c r="C183" s="6">
        <v>2</v>
      </c>
      <c r="D183" s="6">
        <v>118</v>
      </c>
      <c r="E183" s="6">
        <v>619.79999999999995</v>
      </c>
      <c r="F183" s="6" t="s">
        <v>26</v>
      </c>
      <c r="G183" s="7">
        <v>616</v>
      </c>
      <c r="H183" s="7"/>
      <c r="I183" s="6"/>
      <c r="J183" s="6"/>
      <c r="K183" s="6"/>
      <c r="L183" s="6"/>
      <c r="M183" s="7"/>
      <c r="N183" s="9"/>
      <c r="O183" s="6"/>
      <c r="P183" s="6"/>
    </row>
    <row r="184" spans="1:16" ht="30.6" customHeight="1">
      <c r="A184" s="5" t="s">
        <v>255</v>
      </c>
      <c r="B184" s="6" t="s">
        <v>256</v>
      </c>
      <c r="C184" s="6">
        <v>2</v>
      </c>
      <c r="D184" s="6">
        <v>48</v>
      </c>
      <c r="E184" s="6">
        <v>490.4</v>
      </c>
      <c r="F184" s="6" t="s">
        <v>26</v>
      </c>
      <c r="G184" s="7">
        <v>489</v>
      </c>
      <c r="H184" s="7">
        <v>1368</v>
      </c>
      <c r="I184" s="6">
        <v>4</v>
      </c>
      <c r="J184" s="6">
        <v>6</v>
      </c>
      <c r="K184" s="6"/>
      <c r="L184" s="6"/>
      <c r="M184" s="7"/>
      <c r="N184" s="9"/>
      <c r="O184" s="6"/>
      <c r="P184" s="6"/>
    </row>
    <row r="185" spans="1:16" ht="30.6" customHeight="1">
      <c r="A185" s="5" t="s">
        <v>257</v>
      </c>
      <c r="B185" s="6" t="s">
        <v>31</v>
      </c>
      <c r="C185" s="6">
        <v>2</v>
      </c>
      <c r="D185" s="6">
        <v>147</v>
      </c>
      <c r="E185" s="6">
        <v>856.4</v>
      </c>
      <c r="F185" s="6" t="s">
        <v>26</v>
      </c>
      <c r="G185" s="7">
        <v>856</v>
      </c>
      <c r="H185" s="7">
        <v>1695</v>
      </c>
      <c r="I185" s="6">
        <v>5.7</v>
      </c>
      <c r="J185" s="6">
        <v>19</v>
      </c>
      <c r="K185" s="6"/>
      <c r="L185" s="6"/>
      <c r="M185" s="7"/>
      <c r="N185" s="9"/>
      <c r="O185" s="6"/>
      <c r="P185" s="6"/>
    </row>
    <row r="186" spans="1:16" ht="30.6" customHeight="1">
      <c r="A186" s="5" t="s">
        <v>257</v>
      </c>
      <c r="B186" s="6"/>
      <c r="C186" s="6">
        <v>2</v>
      </c>
      <c r="D186" s="6">
        <v>234</v>
      </c>
      <c r="E186" s="6">
        <v>858.7</v>
      </c>
      <c r="F186" s="6" t="s">
        <v>26</v>
      </c>
      <c r="G186" s="7">
        <v>839</v>
      </c>
      <c r="H186" s="7"/>
      <c r="I186" s="6"/>
      <c r="J186" s="6"/>
      <c r="K186" s="6"/>
      <c r="L186" s="6"/>
      <c r="M186" s="7"/>
      <c r="N186" s="9"/>
      <c r="O186" s="6"/>
      <c r="P186" s="6"/>
    </row>
    <row r="187" spans="1:16" ht="30.6" customHeight="1">
      <c r="A187" s="5" t="s">
        <v>258</v>
      </c>
      <c r="B187" s="6" t="s">
        <v>31</v>
      </c>
      <c r="C187" s="6">
        <v>2</v>
      </c>
      <c r="D187" s="6">
        <v>261</v>
      </c>
      <c r="E187" s="6">
        <v>297.3</v>
      </c>
      <c r="F187" s="6" t="s">
        <v>26</v>
      </c>
      <c r="G187" s="7">
        <v>733</v>
      </c>
      <c r="H187" s="7">
        <v>1199</v>
      </c>
      <c r="I187" s="6">
        <v>4</v>
      </c>
      <c r="J187" s="6">
        <v>9</v>
      </c>
      <c r="K187" s="6"/>
      <c r="L187" s="6"/>
      <c r="M187" s="7"/>
      <c r="N187" s="9"/>
      <c r="O187" s="6"/>
      <c r="P187" s="6"/>
    </row>
    <row r="188" spans="1:16" ht="30.6" customHeight="1">
      <c r="A188" s="5" t="s">
        <v>259</v>
      </c>
      <c r="B188" s="6" t="s">
        <v>260</v>
      </c>
      <c r="C188" s="6">
        <v>2</v>
      </c>
      <c r="D188" s="6">
        <v>130</v>
      </c>
      <c r="E188" s="6">
        <v>297.60000000000002</v>
      </c>
      <c r="F188" s="6" t="s">
        <v>26</v>
      </c>
      <c r="G188" s="7">
        <v>295</v>
      </c>
      <c r="H188" s="7">
        <v>932</v>
      </c>
      <c r="I188" s="6">
        <v>3.1</v>
      </c>
      <c r="J188" s="6">
        <v>4</v>
      </c>
      <c r="K188" s="6"/>
      <c r="L188" s="6"/>
      <c r="M188" s="7"/>
      <c r="N188" s="9"/>
      <c r="O188" s="6"/>
      <c r="P188" s="6"/>
    </row>
    <row r="189" spans="1:16" ht="30.6" customHeight="1">
      <c r="A189" s="5" t="s">
        <v>259</v>
      </c>
      <c r="B189" s="6" t="s">
        <v>31</v>
      </c>
      <c r="C189" s="6">
        <v>2</v>
      </c>
      <c r="D189" s="6">
        <v>163</v>
      </c>
      <c r="E189" s="6">
        <v>350.8</v>
      </c>
      <c r="F189" s="6" t="s">
        <v>26</v>
      </c>
      <c r="G189" s="7">
        <v>342</v>
      </c>
      <c r="H189" s="7"/>
      <c r="I189" s="6"/>
      <c r="J189" s="6"/>
      <c r="K189" s="6"/>
      <c r="L189" s="6"/>
      <c r="M189" s="7"/>
      <c r="N189" s="9"/>
      <c r="O189" s="6"/>
      <c r="P189" s="6"/>
    </row>
    <row r="190" spans="1:16" ht="30.6" customHeight="1">
      <c r="A190" s="5" t="s">
        <v>261</v>
      </c>
      <c r="B190" s="6" t="s">
        <v>31</v>
      </c>
      <c r="C190" s="6">
        <v>2</v>
      </c>
      <c r="D190" s="6">
        <v>182</v>
      </c>
      <c r="E190" s="6">
        <v>500</v>
      </c>
      <c r="F190" s="6" t="s">
        <v>26</v>
      </c>
      <c r="G190" s="7">
        <v>489</v>
      </c>
      <c r="H190" s="7">
        <v>800</v>
      </c>
      <c r="I190" s="6">
        <v>2.7</v>
      </c>
      <c r="J190" s="6">
        <v>11</v>
      </c>
      <c r="K190" s="6"/>
      <c r="L190" s="6"/>
      <c r="M190" s="7"/>
      <c r="N190" s="9"/>
      <c r="O190" s="6"/>
      <c r="P190" s="6"/>
    </row>
    <row r="191" spans="1:16" ht="30.6" customHeight="1">
      <c r="A191" s="5" t="s">
        <v>262</v>
      </c>
      <c r="B191" s="6" t="s">
        <v>40</v>
      </c>
      <c r="C191" s="6">
        <v>2</v>
      </c>
      <c r="D191" s="6">
        <v>300</v>
      </c>
      <c r="E191" s="6">
        <v>719.3</v>
      </c>
      <c r="F191" s="6" t="s">
        <v>26</v>
      </c>
      <c r="G191" s="7">
        <v>707</v>
      </c>
      <c r="H191" s="7">
        <v>2009</v>
      </c>
      <c r="I191" s="6">
        <v>6</v>
      </c>
      <c r="J191" s="6">
        <v>15</v>
      </c>
      <c r="K191" s="6"/>
      <c r="L191" s="6"/>
      <c r="M191" s="7"/>
      <c r="N191" s="9"/>
      <c r="O191" s="6"/>
      <c r="P191" s="6"/>
    </row>
    <row r="192" spans="1:16" ht="30.6" customHeight="1">
      <c r="A192" s="5" t="s">
        <v>263</v>
      </c>
      <c r="B192" s="6" t="s">
        <v>264</v>
      </c>
      <c r="C192" s="6">
        <v>2</v>
      </c>
      <c r="D192" s="6">
        <v>95</v>
      </c>
      <c r="E192" s="6">
        <v>617.79999999999995</v>
      </c>
      <c r="F192" s="6" t="s">
        <v>26</v>
      </c>
      <c r="G192" s="7">
        <v>611</v>
      </c>
      <c r="H192" s="7">
        <v>1710</v>
      </c>
      <c r="I192" s="6">
        <v>5</v>
      </c>
      <c r="J192" s="6">
        <v>11</v>
      </c>
      <c r="K192" s="6"/>
      <c r="L192" s="6"/>
      <c r="M192" s="7"/>
      <c r="N192" s="9"/>
      <c r="O192" s="6"/>
      <c r="P192" s="6"/>
    </row>
    <row r="193" spans="1:16" ht="30.6" customHeight="1">
      <c r="A193" s="5" t="s">
        <v>265</v>
      </c>
      <c r="B193" s="6" t="s">
        <v>31</v>
      </c>
      <c r="C193" s="6">
        <v>2</v>
      </c>
      <c r="D193" s="6">
        <v>139</v>
      </c>
      <c r="E193" s="6">
        <v>905.5</v>
      </c>
      <c r="F193" s="6" t="s">
        <v>26</v>
      </c>
      <c r="G193" s="7">
        <v>881</v>
      </c>
      <c r="H193" s="7"/>
      <c r="I193" s="6"/>
      <c r="J193" s="6">
        <v>15</v>
      </c>
      <c r="K193" s="6"/>
      <c r="L193" s="6"/>
      <c r="M193" s="7"/>
      <c r="N193" s="9"/>
      <c r="O193" s="6"/>
      <c r="P193" s="6"/>
    </row>
    <row r="194" spans="1:16" ht="30.6" customHeight="1">
      <c r="A194" s="5" t="s">
        <v>265</v>
      </c>
      <c r="B194" s="6"/>
      <c r="C194" s="6">
        <v>2</v>
      </c>
      <c r="D194" s="6">
        <v>223</v>
      </c>
      <c r="E194" s="6">
        <v>863.7</v>
      </c>
      <c r="F194" s="6" t="s">
        <v>26</v>
      </c>
      <c r="G194" s="7">
        <v>856</v>
      </c>
      <c r="H194" s="7"/>
      <c r="I194" s="6"/>
      <c r="J194" s="6"/>
      <c r="K194" s="6"/>
      <c r="L194" s="6"/>
      <c r="M194" s="7"/>
      <c r="N194" s="9"/>
      <c r="O194" s="6"/>
      <c r="P194" s="6"/>
    </row>
    <row r="195" spans="1:16" ht="30.6" customHeight="1">
      <c r="A195" s="5" t="s">
        <v>266</v>
      </c>
      <c r="B195" s="6" t="s">
        <v>31</v>
      </c>
      <c r="C195" s="6">
        <v>2</v>
      </c>
      <c r="D195" s="6">
        <v>129</v>
      </c>
      <c r="E195" s="6">
        <v>303.60000000000002</v>
      </c>
      <c r="F195" s="6" t="s">
        <v>26</v>
      </c>
      <c r="G195" s="7">
        <v>313</v>
      </c>
      <c r="H195" s="7">
        <v>613</v>
      </c>
      <c r="I195" s="6">
        <v>2</v>
      </c>
      <c r="J195" s="6">
        <v>6</v>
      </c>
      <c r="K195" s="6"/>
      <c r="L195" s="6"/>
      <c r="M195" s="7"/>
      <c r="N195" s="9"/>
      <c r="O195" s="6"/>
      <c r="P195" s="6"/>
    </row>
    <row r="196" spans="1:16" ht="30.6" customHeight="1">
      <c r="A196" s="5" t="s">
        <v>267</v>
      </c>
      <c r="B196" s="6" t="s">
        <v>31</v>
      </c>
      <c r="C196" s="6">
        <v>2</v>
      </c>
      <c r="D196" s="6">
        <v>178</v>
      </c>
      <c r="E196" s="6">
        <v>494.3</v>
      </c>
      <c r="F196" s="6" t="s">
        <v>26</v>
      </c>
      <c r="G196" s="7">
        <v>489</v>
      </c>
      <c r="H196" s="7">
        <v>800</v>
      </c>
      <c r="I196" s="6">
        <v>2.7</v>
      </c>
      <c r="J196" s="6">
        <v>7</v>
      </c>
      <c r="K196" s="6"/>
      <c r="L196" s="6"/>
      <c r="M196" s="7"/>
      <c r="N196" s="9"/>
      <c r="O196" s="6"/>
      <c r="P196" s="6"/>
    </row>
    <row r="197" spans="1:16" ht="30.6" customHeight="1">
      <c r="A197" s="5" t="s">
        <v>268</v>
      </c>
      <c r="B197" s="6"/>
      <c r="C197" s="6">
        <v>2</v>
      </c>
      <c r="D197" s="6">
        <v>271</v>
      </c>
      <c r="E197" s="6">
        <v>306.89999999999998</v>
      </c>
      <c r="F197" s="6" t="s">
        <v>26</v>
      </c>
      <c r="G197" s="7">
        <v>295</v>
      </c>
      <c r="H197" s="7">
        <v>295</v>
      </c>
      <c r="I197" s="6">
        <v>1</v>
      </c>
      <c r="J197" s="6">
        <v>4</v>
      </c>
      <c r="K197" s="6"/>
      <c r="L197" s="6"/>
      <c r="M197" s="7"/>
      <c r="N197" s="9"/>
      <c r="O197" s="6"/>
      <c r="P197" s="6"/>
    </row>
    <row r="198" spans="1:16" ht="30.6" customHeight="1">
      <c r="A198" s="5" t="s">
        <v>269</v>
      </c>
      <c r="B198" s="6" t="s">
        <v>31</v>
      </c>
      <c r="C198" s="6">
        <v>2</v>
      </c>
      <c r="D198" s="6">
        <v>246</v>
      </c>
      <c r="E198" s="6">
        <v>620.9</v>
      </c>
      <c r="F198" s="6" t="s">
        <v>26</v>
      </c>
      <c r="G198" s="7">
        <v>616</v>
      </c>
      <c r="H198" s="7">
        <v>1004</v>
      </c>
      <c r="I198" s="6">
        <v>3.4</v>
      </c>
      <c r="J198" s="6">
        <v>15</v>
      </c>
      <c r="K198" s="6"/>
      <c r="L198" s="6"/>
      <c r="M198" s="7"/>
      <c r="N198" s="9"/>
      <c r="O198" s="6"/>
      <c r="P198" s="6"/>
    </row>
    <row r="199" spans="1:16" ht="30.6" customHeight="1">
      <c r="A199" s="5" t="s">
        <v>270</v>
      </c>
      <c r="B199" s="6" t="s">
        <v>271</v>
      </c>
      <c r="C199" s="6">
        <v>2</v>
      </c>
      <c r="D199" s="6">
        <v>15</v>
      </c>
      <c r="E199" s="6">
        <v>438</v>
      </c>
      <c r="F199" s="6" t="s">
        <v>26</v>
      </c>
      <c r="G199" s="7">
        <v>443</v>
      </c>
      <c r="H199" s="7">
        <v>1180</v>
      </c>
      <c r="I199" s="6">
        <v>4</v>
      </c>
      <c r="J199" s="6">
        <v>11</v>
      </c>
      <c r="K199" s="6"/>
      <c r="L199" s="6"/>
      <c r="M199" s="7"/>
      <c r="N199" s="9"/>
      <c r="O199" s="6"/>
      <c r="P199" s="6"/>
    </row>
    <row r="200" spans="1:16" ht="30.6" customHeight="1">
      <c r="A200" s="5" t="s">
        <v>270</v>
      </c>
      <c r="B200" s="6"/>
      <c r="C200" s="6">
        <v>2</v>
      </c>
      <c r="D200" s="6">
        <v>59</v>
      </c>
      <c r="E200" s="6">
        <v>737.8</v>
      </c>
      <c r="F200" s="6" t="s">
        <v>26</v>
      </c>
      <c r="G200" s="7">
        <v>737</v>
      </c>
      <c r="H200" s="7"/>
      <c r="I200" s="6"/>
      <c r="J200" s="6"/>
      <c r="K200" s="6"/>
      <c r="L200" s="6"/>
      <c r="M200" s="7"/>
      <c r="N200" s="9"/>
      <c r="O200" s="6"/>
      <c r="P200" s="6"/>
    </row>
    <row r="201" spans="1:16" ht="30.6" customHeight="1">
      <c r="A201" s="5" t="s">
        <v>272</v>
      </c>
      <c r="B201" s="6" t="s">
        <v>273</v>
      </c>
      <c r="C201" s="6">
        <v>2</v>
      </c>
      <c r="D201" s="6">
        <v>74</v>
      </c>
      <c r="E201" s="6">
        <v>606.6</v>
      </c>
      <c r="F201" s="6" t="s">
        <v>26</v>
      </c>
      <c r="G201" s="7">
        <v>611</v>
      </c>
      <c r="H201" s="7">
        <v>1579</v>
      </c>
      <c r="I201" s="6">
        <v>5</v>
      </c>
      <c r="J201" s="6">
        <v>17</v>
      </c>
      <c r="K201" s="6"/>
      <c r="L201" s="6"/>
      <c r="M201" s="7"/>
      <c r="N201" s="9"/>
      <c r="O201" s="6"/>
      <c r="P201" s="6"/>
    </row>
    <row r="202" spans="1:16" ht="30.6" customHeight="1">
      <c r="A202" s="5" t="s">
        <v>272</v>
      </c>
      <c r="B202" s="6"/>
      <c r="C202" s="6">
        <v>2</v>
      </c>
      <c r="D202" s="6">
        <v>160</v>
      </c>
      <c r="E202" s="6">
        <v>403.2</v>
      </c>
      <c r="F202" s="6" t="s">
        <v>26</v>
      </c>
      <c r="G202" s="7">
        <v>388</v>
      </c>
      <c r="H202" s="7"/>
      <c r="I202" s="6"/>
      <c r="J202" s="6"/>
      <c r="K202" s="6"/>
      <c r="L202" s="6"/>
      <c r="M202" s="7"/>
      <c r="N202" s="9"/>
      <c r="O202" s="6"/>
      <c r="P202" s="6"/>
    </row>
    <row r="203" spans="1:16" ht="30.6" customHeight="1">
      <c r="A203" s="5" t="s">
        <v>274</v>
      </c>
      <c r="B203" s="6" t="s">
        <v>275</v>
      </c>
      <c r="C203" s="6">
        <v>2</v>
      </c>
      <c r="D203" s="6">
        <v>103</v>
      </c>
      <c r="E203" s="6">
        <v>624.5</v>
      </c>
      <c r="F203" s="6" t="s">
        <v>26</v>
      </c>
      <c r="G203" s="7">
        <v>616</v>
      </c>
      <c r="H203" s="7">
        <v>1710</v>
      </c>
      <c r="I203" s="6">
        <v>5</v>
      </c>
      <c r="J203" s="6">
        <v>16</v>
      </c>
      <c r="K203" s="6"/>
      <c r="L203" s="6"/>
      <c r="M203" s="7"/>
      <c r="N203" s="9"/>
      <c r="O203" s="6"/>
      <c r="P203" s="6"/>
    </row>
    <row r="204" spans="1:16" ht="30.6" customHeight="1">
      <c r="A204" s="5" t="s">
        <v>276</v>
      </c>
      <c r="B204" s="6" t="s">
        <v>31</v>
      </c>
      <c r="C204" s="6">
        <v>2</v>
      </c>
      <c r="D204" s="6">
        <v>247</v>
      </c>
      <c r="E204" s="6">
        <v>493.3</v>
      </c>
      <c r="F204" s="6" t="s">
        <v>26</v>
      </c>
      <c r="G204" s="7">
        <v>489</v>
      </c>
      <c r="H204" s="7">
        <v>800</v>
      </c>
      <c r="I204" s="6">
        <v>2.7</v>
      </c>
      <c r="J204" s="6">
        <v>4</v>
      </c>
      <c r="K204" s="6"/>
      <c r="L204" s="6"/>
      <c r="M204" s="7"/>
      <c r="N204" s="9"/>
      <c r="O204" s="6"/>
      <c r="P204" s="6"/>
    </row>
    <row r="205" spans="1:16" ht="30.6" customHeight="1">
      <c r="A205" s="5" t="s">
        <v>277</v>
      </c>
      <c r="B205" s="6" t="s">
        <v>278</v>
      </c>
      <c r="C205" s="6">
        <v>2</v>
      </c>
      <c r="D205" s="6">
        <v>80</v>
      </c>
      <c r="E205" s="6">
        <v>744.9</v>
      </c>
      <c r="F205" s="6" t="s">
        <v>26</v>
      </c>
      <c r="G205" s="7">
        <v>733</v>
      </c>
      <c r="H205" s="7">
        <v>1199</v>
      </c>
      <c r="I205" s="6">
        <v>4</v>
      </c>
      <c r="J205" s="6">
        <v>21</v>
      </c>
      <c r="K205" s="6"/>
      <c r="L205" s="6"/>
      <c r="M205" s="7"/>
      <c r="N205" s="9"/>
      <c r="O205" s="6"/>
      <c r="P205" s="6"/>
    </row>
    <row r="206" spans="1:16" ht="30.6" customHeight="1">
      <c r="A206" s="5" t="s">
        <v>279</v>
      </c>
      <c r="B206" s="6" t="s">
        <v>40</v>
      </c>
      <c r="C206" s="6">
        <v>2</v>
      </c>
      <c r="D206" s="6">
        <v>297</v>
      </c>
      <c r="E206" s="6">
        <v>605</v>
      </c>
      <c r="F206" s="6" t="s">
        <v>26</v>
      </c>
      <c r="G206" s="7">
        <v>589</v>
      </c>
      <c r="H206" s="7">
        <v>1710</v>
      </c>
      <c r="I206" s="6">
        <v>5</v>
      </c>
      <c r="J206" s="6">
        <v>22</v>
      </c>
      <c r="K206" s="6"/>
      <c r="L206" s="6"/>
      <c r="M206" s="7"/>
      <c r="N206" s="9"/>
      <c r="O206" s="6"/>
      <c r="P206" s="6"/>
    </row>
    <row r="207" spans="1:16" ht="30.6" customHeight="1">
      <c r="A207" s="5" t="s">
        <v>280</v>
      </c>
      <c r="B207" s="6"/>
      <c r="C207" s="6">
        <v>2</v>
      </c>
      <c r="D207" s="6">
        <v>122</v>
      </c>
      <c r="E207" s="6">
        <v>394.3</v>
      </c>
      <c r="F207" s="6" t="s">
        <v>26</v>
      </c>
      <c r="G207" s="7">
        <v>442</v>
      </c>
      <c r="H207" s="7">
        <v>442</v>
      </c>
      <c r="I207" s="6">
        <v>1.4</v>
      </c>
      <c r="J207" s="6"/>
      <c r="K207" s="6"/>
      <c r="L207" s="6"/>
      <c r="M207" s="7"/>
      <c r="N207" s="9"/>
      <c r="O207" s="6"/>
      <c r="P207" s="6"/>
    </row>
    <row r="208" spans="1:16" ht="30.6" customHeight="1">
      <c r="A208" s="5" t="s">
        <v>281</v>
      </c>
      <c r="B208" s="6" t="s">
        <v>40</v>
      </c>
      <c r="C208" s="6">
        <v>2</v>
      </c>
      <c r="D208" s="6">
        <v>115</v>
      </c>
      <c r="E208" s="6">
        <v>370.9</v>
      </c>
      <c r="F208" s="6" t="s">
        <v>26</v>
      </c>
      <c r="G208" s="7">
        <v>367</v>
      </c>
      <c r="H208" s="7">
        <v>1445</v>
      </c>
      <c r="I208" s="6">
        <v>4</v>
      </c>
      <c r="J208" s="6">
        <v>10</v>
      </c>
      <c r="K208" s="6"/>
      <c r="L208" s="6"/>
      <c r="M208" s="7"/>
      <c r="N208" s="9"/>
      <c r="O208" s="6"/>
      <c r="P208" s="6"/>
    </row>
    <row r="209" spans="1:16" ht="30.6" customHeight="1">
      <c r="A209" s="5" t="s">
        <v>281</v>
      </c>
      <c r="B209" s="6"/>
      <c r="C209" s="6">
        <v>2</v>
      </c>
      <c r="D209" s="6">
        <v>140</v>
      </c>
      <c r="E209" s="6">
        <v>623.5</v>
      </c>
      <c r="F209" s="6" t="s">
        <v>26</v>
      </c>
      <c r="G209" s="7">
        <v>619</v>
      </c>
      <c r="H209" s="7"/>
      <c r="I209" s="6"/>
      <c r="J209" s="6"/>
      <c r="K209" s="6"/>
      <c r="L209" s="6"/>
      <c r="M209" s="7"/>
      <c r="N209" s="9"/>
      <c r="O209" s="6"/>
      <c r="P209" s="6"/>
    </row>
    <row r="210" spans="1:16" ht="30.6" customHeight="1">
      <c r="A210" s="5" t="s">
        <v>282</v>
      </c>
      <c r="B210" s="6" t="s">
        <v>283</v>
      </c>
      <c r="C210" s="6">
        <v>2</v>
      </c>
      <c r="D210" s="6">
        <v>51</v>
      </c>
      <c r="E210" s="6">
        <v>622.1</v>
      </c>
      <c r="F210" s="6" t="s">
        <v>26</v>
      </c>
      <c r="G210" s="7">
        <v>616</v>
      </c>
      <c r="H210" s="7">
        <v>1492</v>
      </c>
      <c r="I210" s="6">
        <v>5</v>
      </c>
      <c r="J210" s="6">
        <v>5</v>
      </c>
      <c r="K210" s="6"/>
      <c r="L210" s="6"/>
      <c r="M210" s="7"/>
      <c r="N210" s="9"/>
      <c r="O210" s="6"/>
      <c r="P210" s="6"/>
    </row>
    <row r="211" spans="1:16" ht="30.6" customHeight="1">
      <c r="A211" s="5" t="s">
        <v>284</v>
      </c>
      <c r="B211" s="6" t="s">
        <v>31</v>
      </c>
      <c r="C211" s="6">
        <v>2</v>
      </c>
      <c r="D211" s="6">
        <v>250</v>
      </c>
      <c r="E211" s="6">
        <v>344.6</v>
      </c>
      <c r="F211" s="6" t="s">
        <v>26</v>
      </c>
      <c r="G211" s="7">
        <v>342</v>
      </c>
      <c r="H211" s="7">
        <v>684</v>
      </c>
      <c r="I211" s="6">
        <v>2.2999999999999998</v>
      </c>
      <c r="J211" s="6">
        <v>5</v>
      </c>
      <c r="K211" s="6"/>
      <c r="L211" s="6"/>
      <c r="M211" s="7"/>
      <c r="N211" s="9"/>
      <c r="O211" s="6"/>
      <c r="P211" s="6"/>
    </row>
    <row r="212" spans="1:16" ht="30.6" customHeight="1">
      <c r="A212" s="5" t="s">
        <v>285</v>
      </c>
      <c r="B212" s="6" t="s">
        <v>31</v>
      </c>
      <c r="C212" s="6">
        <v>2</v>
      </c>
      <c r="D212" s="6">
        <v>265</v>
      </c>
      <c r="E212" s="6">
        <v>298.2</v>
      </c>
      <c r="F212" s="6" t="s">
        <v>26</v>
      </c>
      <c r="G212" s="7">
        <v>295</v>
      </c>
      <c r="H212" s="7">
        <v>590</v>
      </c>
      <c r="I212" s="6">
        <v>2</v>
      </c>
      <c r="J212" s="6">
        <v>3</v>
      </c>
      <c r="K212" s="6"/>
      <c r="L212" s="6"/>
      <c r="M212" s="7"/>
      <c r="N212" s="9"/>
      <c r="O212" s="6"/>
      <c r="P212" s="6"/>
    </row>
    <row r="213" spans="1:16" ht="30.6" customHeight="1">
      <c r="A213" s="5" t="s">
        <v>286</v>
      </c>
      <c r="B213" s="6" t="s">
        <v>287</v>
      </c>
      <c r="C213" s="6">
        <v>2</v>
      </c>
      <c r="D213" s="6">
        <v>88</v>
      </c>
      <c r="E213" s="6">
        <v>296</v>
      </c>
      <c r="F213" s="6" t="s">
        <v>26</v>
      </c>
      <c r="G213" s="7">
        <v>489</v>
      </c>
      <c r="H213" s="7">
        <v>1368</v>
      </c>
      <c r="I213" s="6">
        <v>4</v>
      </c>
      <c r="J213" s="6">
        <v>4</v>
      </c>
      <c r="K213" s="6"/>
      <c r="L213" s="6"/>
      <c r="M213" s="7"/>
      <c r="N213" s="9"/>
      <c r="O213" s="6"/>
      <c r="P213" s="6"/>
    </row>
    <row r="214" spans="1:16" ht="30.6" customHeight="1">
      <c r="A214" s="5" t="s">
        <v>288</v>
      </c>
      <c r="B214" s="6" t="s">
        <v>289</v>
      </c>
      <c r="C214" s="6">
        <v>2</v>
      </c>
      <c r="D214" s="6">
        <v>75</v>
      </c>
      <c r="E214" s="6">
        <v>486.7</v>
      </c>
      <c r="F214" s="6" t="s">
        <v>26</v>
      </c>
      <c r="G214" s="7">
        <v>489</v>
      </c>
      <c r="H214" s="7">
        <v>1368</v>
      </c>
      <c r="I214" s="6">
        <v>4</v>
      </c>
      <c r="J214" s="6">
        <v>3</v>
      </c>
      <c r="K214" s="6"/>
      <c r="L214" s="6"/>
      <c r="M214" s="7"/>
      <c r="N214" s="9"/>
      <c r="O214" s="6"/>
      <c r="P214" s="6"/>
    </row>
    <row r="215" spans="1:16" ht="30.6" customHeight="1">
      <c r="A215" s="5" t="s">
        <v>290</v>
      </c>
      <c r="B215" s="6" t="s">
        <v>291</v>
      </c>
      <c r="C215" s="6">
        <v>2</v>
      </c>
      <c r="D215" s="6">
        <v>109</v>
      </c>
      <c r="E215" s="6">
        <v>862.8</v>
      </c>
      <c r="F215" s="6" t="s">
        <v>26</v>
      </c>
      <c r="G215" s="7">
        <v>856</v>
      </c>
      <c r="H215" s="7">
        <v>2129</v>
      </c>
      <c r="I215" s="6">
        <v>7.2</v>
      </c>
      <c r="J215" s="6">
        <v>11</v>
      </c>
      <c r="K215" s="6"/>
      <c r="L215" s="6"/>
      <c r="M215" s="7"/>
      <c r="N215" s="9"/>
      <c r="O215" s="6"/>
      <c r="P215" s="6"/>
    </row>
    <row r="216" spans="1:16" ht="30.6" customHeight="1">
      <c r="A216" s="5" t="s">
        <v>292</v>
      </c>
      <c r="B216" s="6" t="s">
        <v>293</v>
      </c>
      <c r="C216" s="6">
        <v>2</v>
      </c>
      <c r="D216" s="6">
        <v>86</v>
      </c>
      <c r="E216" s="6">
        <v>490.4</v>
      </c>
      <c r="F216" s="6" t="s">
        <v>26</v>
      </c>
      <c r="G216" s="7">
        <v>489</v>
      </c>
      <c r="H216" s="7">
        <v>1118</v>
      </c>
      <c r="I216" s="6">
        <v>3</v>
      </c>
      <c r="J216" s="6">
        <v>13</v>
      </c>
      <c r="K216" s="6"/>
      <c r="L216" s="6"/>
      <c r="M216" s="7"/>
      <c r="N216" s="9"/>
      <c r="O216" s="6"/>
      <c r="P216" s="6"/>
    </row>
    <row r="217" spans="1:16" ht="30.6" customHeight="1">
      <c r="A217" s="5" t="s">
        <v>292</v>
      </c>
      <c r="B217" s="6"/>
      <c r="C217" s="6">
        <v>2</v>
      </c>
      <c r="D217" s="6">
        <v>148</v>
      </c>
      <c r="E217" s="6">
        <v>631.1</v>
      </c>
      <c r="F217" s="6" t="s">
        <v>26</v>
      </c>
      <c r="G217" s="7">
        <v>629</v>
      </c>
      <c r="H217" s="7"/>
      <c r="I217" s="6"/>
      <c r="J217" s="6"/>
      <c r="K217" s="6"/>
      <c r="L217" s="6"/>
      <c r="M217" s="7"/>
      <c r="N217" s="9"/>
      <c r="O217" s="6"/>
      <c r="P217" s="6"/>
    </row>
    <row r="218" spans="1:16" ht="30.6" customHeight="1">
      <c r="A218" s="5" t="s">
        <v>294</v>
      </c>
      <c r="B218" s="6" t="s">
        <v>295</v>
      </c>
      <c r="C218" s="6">
        <v>2</v>
      </c>
      <c r="D218" s="6">
        <v>6</v>
      </c>
      <c r="E218" s="6">
        <v>616.9</v>
      </c>
      <c r="F218" s="6" t="s">
        <v>26</v>
      </c>
      <c r="G218" s="7">
        <v>616</v>
      </c>
      <c r="H218" s="7">
        <v>1548</v>
      </c>
      <c r="I218" s="6">
        <v>5.25</v>
      </c>
      <c r="J218" s="6"/>
      <c r="K218" s="6"/>
      <c r="L218" s="6"/>
      <c r="M218" s="7"/>
      <c r="N218" s="9"/>
      <c r="O218" s="6"/>
      <c r="P218" s="6"/>
    </row>
    <row r="219" spans="1:16" ht="30.6" customHeight="1">
      <c r="A219" s="5" t="s">
        <v>294</v>
      </c>
      <c r="B219" s="6"/>
      <c r="C219" s="6">
        <v>2</v>
      </c>
      <c r="D219" s="6">
        <v>62</v>
      </c>
      <c r="E219" s="6">
        <v>388.7</v>
      </c>
      <c r="F219" s="6" t="s">
        <v>26</v>
      </c>
      <c r="G219" s="7">
        <v>388</v>
      </c>
      <c r="H219" s="7"/>
      <c r="I219" s="6"/>
      <c r="J219" s="6"/>
      <c r="K219" s="6"/>
      <c r="L219" s="6"/>
      <c r="M219" s="7"/>
      <c r="N219" s="9"/>
      <c r="O219" s="6"/>
      <c r="P219" s="6"/>
    </row>
    <row r="220" spans="1:16" ht="30.6" customHeight="1">
      <c r="A220" s="5" t="s">
        <v>296</v>
      </c>
      <c r="B220" s="6" t="s">
        <v>31</v>
      </c>
      <c r="C220" s="6">
        <v>2</v>
      </c>
      <c r="D220" s="6">
        <v>237</v>
      </c>
      <c r="E220" s="6">
        <v>297.89999999999998</v>
      </c>
      <c r="F220" s="6" t="s">
        <v>26</v>
      </c>
      <c r="G220" s="7">
        <v>295</v>
      </c>
      <c r="H220" s="7">
        <v>590</v>
      </c>
      <c r="I220" s="6">
        <v>2</v>
      </c>
      <c r="J220" s="6">
        <v>9</v>
      </c>
      <c r="K220" s="6"/>
      <c r="L220" s="6"/>
      <c r="M220" s="7"/>
      <c r="N220" s="9"/>
      <c r="O220" s="6"/>
      <c r="P220" s="6"/>
    </row>
    <row r="221" spans="1:16" ht="30.6" customHeight="1">
      <c r="A221" s="5" t="s">
        <v>297</v>
      </c>
      <c r="B221" s="6" t="s">
        <v>40</v>
      </c>
      <c r="C221" s="6">
        <v>2</v>
      </c>
      <c r="D221" s="6">
        <v>289</v>
      </c>
      <c r="E221" s="6">
        <v>599.9</v>
      </c>
      <c r="F221" s="6" t="s">
        <v>26</v>
      </c>
      <c r="G221" s="7">
        <v>589</v>
      </c>
      <c r="H221" s="7">
        <v>1475</v>
      </c>
      <c r="I221" s="6">
        <v>5</v>
      </c>
      <c r="J221" s="6">
        <v>11</v>
      </c>
      <c r="K221" s="6"/>
      <c r="L221" s="6"/>
      <c r="M221" s="7"/>
      <c r="N221" s="9"/>
      <c r="O221" s="6"/>
      <c r="P221" s="6"/>
    </row>
    <row r="222" spans="1:16" ht="30.6" customHeight="1">
      <c r="A222" s="5" t="s">
        <v>298</v>
      </c>
      <c r="B222" s="6" t="s">
        <v>40</v>
      </c>
      <c r="C222" s="6">
        <v>2</v>
      </c>
      <c r="D222" s="6">
        <v>105</v>
      </c>
      <c r="E222" s="6">
        <v>327.10000000000002</v>
      </c>
      <c r="F222" s="6" t="s">
        <v>26</v>
      </c>
      <c r="G222" s="7">
        <v>321</v>
      </c>
      <c r="H222" s="7">
        <v>964</v>
      </c>
      <c r="I222" s="6">
        <v>3.2</v>
      </c>
      <c r="J222" s="6">
        <v>18</v>
      </c>
      <c r="K222" s="6"/>
      <c r="L222" s="6"/>
      <c r="M222" s="7"/>
      <c r="N222" s="9"/>
      <c r="O222" s="6"/>
      <c r="P222" s="6"/>
    </row>
    <row r="223" spans="1:16" ht="30.6" customHeight="1">
      <c r="A223" s="5" t="s">
        <v>299</v>
      </c>
      <c r="B223" s="6" t="s">
        <v>31</v>
      </c>
      <c r="C223" s="6">
        <v>2</v>
      </c>
      <c r="D223" s="6">
        <v>94</v>
      </c>
      <c r="E223" s="6">
        <v>493.5</v>
      </c>
      <c r="F223" s="6" t="s">
        <v>26</v>
      </c>
      <c r="G223" s="7">
        <v>489</v>
      </c>
      <c r="H223" s="7">
        <v>800</v>
      </c>
      <c r="I223" s="6">
        <v>2.7</v>
      </c>
      <c r="J223" s="6"/>
      <c r="K223" s="6"/>
      <c r="L223" s="6"/>
      <c r="M223" s="7"/>
      <c r="N223" s="9"/>
      <c r="O223" s="6"/>
      <c r="P223" s="6"/>
    </row>
    <row r="224" spans="1:16" ht="30.6" customHeight="1">
      <c r="A224" s="5" t="s">
        <v>300</v>
      </c>
      <c r="B224" s="6" t="s">
        <v>40</v>
      </c>
      <c r="C224" s="6">
        <v>2</v>
      </c>
      <c r="D224" s="6">
        <v>120</v>
      </c>
      <c r="E224" s="6">
        <v>1358.1</v>
      </c>
      <c r="F224" s="6" t="s">
        <v>26</v>
      </c>
      <c r="G224" s="7">
        <v>1345</v>
      </c>
      <c r="H224" s="7">
        <v>3421</v>
      </c>
      <c r="I224" s="6">
        <v>11.5</v>
      </c>
      <c r="J224" s="6">
        <v>28</v>
      </c>
      <c r="K224" s="6"/>
      <c r="L224" s="6"/>
      <c r="M224" s="7"/>
      <c r="N224" s="9"/>
      <c r="O224" s="6"/>
      <c r="P224" s="6"/>
    </row>
    <row r="225" spans="1:16" ht="30.6" customHeight="1">
      <c r="A225" s="5" t="s">
        <v>301</v>
      </c>
      <c r="B225" s="6" t="s">
        <v>40</v>
      </c>
      <c r="C225" s="6">
        <v>2</v>
      </c>
      <c r="D225" s="6">
        <v>106</v>
      </c>
      <c r="E225" s="6">
        <v>297.3</v>
      </c>
      <c r="F225" s="6" t="s">
        <v>26</v>
      </c>
      <c r="G225" s="7">
        <v>295</v>
      </c>
      <c r="H225" s="7">
        <v>885</v>
      </c>
      <c r="I225" s="6">
        <v>3</v>
      </c>
      <c r="J225" s="6"/>
      <c r="K225" s="6"/>
      <c r="L225" s="6"/>
      <c r="M225" s="7"/>
      <c r="N225" s="9"/>
      <c r="O225" s="6"/>
      <c r="P225" s="6"/>
    </row>
    <row r="226" spans="1:16" ht="30.6" customHeight="1">
      <c r="A226" s="5" t="s">
        <v>302</v>
      </c>
      <c r="B226" s="6" t="s">
        <v>303</v>
      </c>
      <c r="C226" s="6">
        <v>2</v>
      </c>
      <c r="D226" s="6">
        <v>82</v>
      </c>
      <c r="E226" s="6">
        <v>634.9</v>
      </c>
      <c r="F226" s="6" t="s">
        <v>26</v>
      </c>
      <c r="G226" s="7">
        <v>611</v>
      </c>
      <c r="H226" s="7">
        <v>999</v>
      </c>
      <c r="I226" s="6">
        <v>3</v>
      </c>
      <c r="J226" s="6">
        <v>13</v>
      </c>
      <c r="K226" s="6"/>
      <c r="L226" s="6"/>
      <c r="M226" s="7"/>
      <c r="N226" s="9"/>
      <c r="O226" s="6"/>
      <c r="P226" s="6"/>
    </row>
    <row r="227" spans="1:16" ht="30.6" customHeight="1">
      <c r="A227" s="5" t="s">
        <v>304</v>
      </c>
      <c r="B227" s="6" t="s">
        <v>31</v>
      </c>
      <c r="C227" s="6">
        <v>2</v>
      </c>
      <c r="D227" s="6">
        <v>233</v>
      </c>
      <c r="E227" s="6">
        <v>858.9</v>
      </c>
      <c r="F227" s="6" t="s">
        <v>26</v>
      </c>
      <c r="G227" s="7">
        <v>856</v>
      </c>
      <c r="H227" s="7">
        <v>1420</v>
      </c>
      <c r="I227" s="6">
        <v>4</v>
      </c>
      <c r="J227" s="6">
        <v>15</v>
      </c>
      <c r="K227" s="6"/>
      <c r="L227" s="6"/>
      <c r="M227" s="7"/>
      <c r="N227" s="9"/>
      <c r="O227" s="6"/>
      <c r="P227" s="6"/>
    </row>
    <row r="228" spans="1:16" ht="30.6" customHeight="1">
      <c r="A228" s="5" t="s">
        <v>305</v>
      </c>
      <c r="B228" s="6" t="s">
        <v>306</v>
      </c>
      <c r="C228" s="6">
        <v>2</v>
      </c>
      <c r="D228" s="6">
        <v>18</v>
      </c>
      <c r="E228" s="6">
        <v>480.3</v>
      </c>
      <c r="F228" s="6" t="s">
        <v>26</v>
      </c>
      <c r="G228" s="7">
        <v>489</v>
      </c>
      <c r="H228" s="7">
        <v>1368</v>
      </c>
      <c r="I228" s="6">
        <v>4.63</v>
      </c>
      <c r="J228" s="6">
        <v>7</v>
      </c>
      <c r="K228" s="6"/>
      <c r="L228" s="6"/>
      <c r="M228" s="7"/>
      <c r="N228" s="9"/>
      <c r="O228" s="6"/>
      <c r="P228" s="6"/>
    </row>
    <row r="229" spans="1:16" ht="30.6" customHeight="1">
      <c r="A229" s="5" t="s">
        <v>307</v>
      </c>
      <c r="B229" s="6" t="s">
        <v>308</v>
      </c>
      <c r="C229" s="6">
        <v>2</v>
      </c>
      <c r="D229" s="6">
        <v>81</v>
      </c>
      <c r="E229" s="6">
        <v>629.29999999999995</v>
      </c>
      <c r="F229" s="6" t="s">
        <v>26</v>
      </c>
      <c r="G229" s="7">
        <v>611</v>
      </c>
      <c r="H229" s="7">
        <v>1520</v>
      </c>
      <c r="I229" s="6">
        <v>5</v>
      </c>
      <c r="J229" s="6">
        <v>8</v>
      </c>
      <c r="K229" s="6"/>
      <c r="L229" s="6"/>
      <c r="M229" s="7"/>
      <c r="N229" s="9"/>
      <c r="O229" s="6"/>
      <c r="P229" s="6"/>
    </row>
    <row r="230" spans="1:16" ht="30.6" customHeight="1">
      <c r="A230" s="5" t="s">
        <v>309</v>
      </c>
      <c r="B230" s="6" t="s">
        <v>310</v>
      </c>
      <c r="C230" s="6">
        <v>2</v>
      </c>
      <c r="D230" s="6">
        <v>307</v>
      </c>
      <c r="E230" s="6">
        <v>474.5</v>
      </c>
      <c r="F230" s="6" t="s">
        <v>26</v>
      </c>
      <c r="G230" s="7">
        <v>471</v>
      </c>
      <c r="H230" s="7">
        <v>1180</v>
      </c>
      <c r="I230" s="6">
        <v>4</v>
      </c>
      <c r="J230" s="6">
        <v>10</v>
      </c>
      <c r="K230" s="6"/>
      <c r="L230" s="6"/>
      <c r="M230" s="7"/>
      <c r="N230" s="9"/>
      <c r="O230" s="6"/>
      <c r="P230" s="6"/>
    </row>
    <row r="231" spans="1:16" ht="30.6" customHeight="1">
      <c r="A231" s="5" t="s">
        <v>311</v>
      </c>
      <c r="B231" s="6" t="s">
        <v>211</v>
      </c>
      <c r="C231" s="6">
        <v>2</v>
      </c>
      <c r="D231" s="6">
        <v>210</v>
      </c>
      <c r="E231" s="6">
        <v>342.2</v>
      </c>
      <c r="F231" s="6" t="s">
        <v>26</v>
      </c>
      <c r="G231" s="7">
        <v>342</v>
      </c>
      <c r="H231" s="7">
        <v>342</v>
      </c>
      <c r="I231" s="6">
        <v>1.1000000000000001</v>
      </c>
      <c r="J231" s="6">
        <v>5</v>
      </c>
      <c r="K231" s="6"/>
      <c r="L231" s="6"/>
      <c r="M231" s="7"/>
      <c r="N231" s="9"/>
      <c r="O231" s="6"/>
      <c r="P231" s="6"/>
    </row>
    <row r="232" spans="1:16" ht="30.6" customHeight="1">
      <c r="A232" s="5" t="s">
        <v>312</v>
      </c>
      <c r="B232" s="6" t="s">
        <v>313</v>
      </c>
      <c r="C232" s="6">
        <v>2</v>
      </c>
      <c r="D232" s="6">
        <v>17</v>
      </c>
      <c r="E232" s="6">
        <v>713.2</v>
      </c>
      <c r="F232" s="6" t="s">
        <v>26</v>
      </c>
      <c r="G232" s="7">
        <v>733</v>
      </c>
      <c r="H232" s="7">
        <v>1970</v>
      </c>
      <c r="I232" s="6">
        <v>6</v>
      </c>
      <c r="J232" s="6">
        <v>7</v>
      </c>
      <c r="K232" s="6"/>
      <c r="L232" s="6"/>
      <c r="M232" s="7"/>
      <c r="N232" s="9"/>
      <c r="O232" s="6"/>
      <c r="P232" s="6"/>
    </row>
    <row r="233" spans="1:16" ht="30.6" customHeight="1">
      <c r="A233" s="5" t="s">
        <v>314</v>
      </c>
      <c r="B233" s="6" t="s">
        <v>40</v>
      </c>
      <c r="C233" s="6">
        <v>2</v>
      </c>
      <c r="D233" s="6">
        <v>308</v>
      </c>
      <c r="E233" s="6">
        <v>747.6</v>
      </c>
      <c r="F233" s="6" t="s">
        <v>26</v>
      </c>
      <c r="G233" s="7">
        <v>295</v>
      </c>
      <c r="H233" s="7">
        <v>1265</v>
      </c>
      <c r="I233" s="6">
        <v>3.7</v>
      </c>
      <c r="J233" s="6">
        <v>15</v>
      </c>
      <c r="K233" s="6"/>
      <c r="L233" s="6"/>
      <c r="M233" s="7"/>
      <c r="N233" s="9"/>
      <c r="O233" s="6"/>
      <c r="P233" s="6"/>
    </row>
    <row r="234" spans="1:16" ht="30.6" customHeight="1">
      <c r="A234" s="5" t="s">
        <v>315</v>
      </c>
      <c r="B234" s="6" t="s">
        <v>316</v>
      </c>
      <c r="C234" s="6">
        <v>2</v>
      </c>
      <c r="D234" s="6">
        <v>79</v>
      </c>
      <c r="E234" s="6">
        <v>494.1</v>
      </c>
      <c r="F234" s="6" t="s">
        <v>26</v>
      </c>
      <c r="G234" s="7">
        <v>489</v>
      </c>
      <c r="H234" s="7">
        <v>1368</v>
      </c>
      <c r="I234" s="6">
        <v>4</v>
      </c>
      <c r="J234" s="6">
        <v>10</v>
      </c>
      <c r="K234" s="6"/>
      <c r="L234" s="6"/>
      <c r="M234" s="7"/>
      <c r="N234" s="9"/>
      <c r="O234" s="6"/>
      <c r="P234" s="6"/>
    </row>
    <row r="235" spans="1:16" ht="30.6" customHeight="1">
      <c r="A235" s="5" t="s">
        <v>317</v>
      </c>
      <c r="B235" s="6" t="s">
        <v>318</v>
      </c>
      <c r="C235" s="6">
        <v>2</v>
      </c>
      <c r="D235" s="6">
        <v>99</v>
      </c>
      <c r="E235" s="6">
        <v>626.6</v>
      </c>
      <c r="F235" s="6" t="s">
        <v>26</v>
      </c>
      <c r="G235" s="7">
        <v>616</v>
      </c>
      <c r="H235" s="7">
        <v>1770</v>
      </c>
      <c r="I235" s="6">
        <v>6</v>
      </c>
      <c r="J235" s="6">
        <v>15</v>
      </c>
      <c r="K235" s="6"/>
      <c r="L235" s="6"/>
      <c r="M235" s="7"/>
      <c r="N235" s="9"/>
      <c r="O235" s="6"/>
      <c r="P235" s="6"/>
    </row>
    <row r="236" spans="1:16" ht="30.6" customHeight="1">
      <c r="A236" s="5" t="s">
        <v>317</v>
      </c>
      <c r="B236" s="6"/>
      <c r="C236" s="6">
        <v>2</v>
      </c>
      <c r="D236" s="6">
        <v>145</v>
      </c>
      <c r="E236" s="6">
        <v>683.4</v>
      </c>
      <c r="F236" s="6" t="s">
        <v>26</v>
      </c>
      <c r="G236" s="7">
        <v>682</v>
      </c>
      <c r="H236" s="7"/>
      <c r="I236" s="6"/>
      <c r="J236" s="6"/>
      <c r="K236" s="6"/>
      <c r="L236" s="6"/>
      <c r="M236" s="7"/>
      <c r="N236" s="9"/>
      <c r="O236" s="6"/>
      <c r="P236" s="6"/>
    </row>
    <row r="237" spans="1:16" ht="30.6" customHeight="1">
      <c r="A237" s="5" t="s">
        <v>319</v>
      </c>
      <c r="B237" s="6" t="s">
        <v>31</v>
      </c>
      <c r="C237" s="6">
        <v>2</v>
      </c>
      <c r="D237" s="6">
        <v>181</v>
      </c>
      <c r="E237" s="6">
        <v>867.2</v>
      </c>
      <c r="F237" s="6" t="s">
        <v>26</v>
      </c>
      <c r="G237" s="7">
        <v>856</v>
      </c>
      <c r="H237" s="7">
        <v>1420</v>
      </c>
      <c r="I237" s="6">
        <v>4</v>
      </c>
      <c r="J237" s="6">
        <v>15</v>
      </c>
      <c r="K237" s="6"/>
      <c r="L237" s="6"/>
      <c r="M237" s="7"/>
      <c r="N237" s="9"/>
      <c r="O237" s="6"/>
      <c r="P237" s="6"/>
    </row>
    <row r="238" spans="1:16" ht="30.6" customHeight="1">
      <c r="A238" s="5" t="s">
        <v>320</v>
      </c>
      <c r="B238" s="6" t="s">
        <v>321</v>
      </c>
      <c r="C238" s="6">
        <v>2</v>
      </c>
      <c r="D238" s="6">
        <v>85</v>
      </c>
      <c r="E238" s="6">
        <v>563.70000000000005</v>
      </c>
      <c r="F238" s="6" t="s">
        <v>26</v>
      </c>
      <c r="G238" s="7">
        <v>550</v>
      </c>
      <c r="H238" s="7">
        <v>900</v>
      </c>
      <c r="I238" s="6">
        <v>3</v>
      </c>
      <c r="J238" s="6">
        <v>1</v>
      </c>
      <c r="K238" s="6"/>
      <c r="L238" s="6"/>
      <c r="M238" s="7"/>
      <c r="N238" s="9"/>
      <c r="O238" s="6"/>
      <c r="P238" s="6"/>
    </row>
    <row r="239" spans="1:16" ht="30.6" customHeight="1">
      <c r="A239" s="5" t="s">
        <v>322</v>
      </c>
      <c r="B239" s="6" t="s">
        <v>31</v>
      </c>
      <c r="C239" s="6">
        <v>2</v>
      </c>
      <c r="D239" s="6">
        <v>229</v>
      </c>
      <c r="E239" s="6">
        <v>629.4</v>
      </c>
      <c r="F239" s="6" t="s">
        <v>26</v>
      </c>
      <c r="G239" s="7">
        <v>616</v>
      </c>
      <c r="H239" s="7">
        <v>1004</v>
      </c>
      <c r="I239" s="6">
        <v>3.4</v>
      </c>
      <c r="J239" s="6">
        <v>17</v>
      </c>
      <c r="K239" s="6"/>
      <c r="L239" s="6"/>
      <c r="M239" s="7"/>
      <c r="N239" s="9"/>
      <c r="O239" s="6"/>
      <c r="P239" s="6"/>
    </row>
    <row r="240" spans="1:16" ht="30.6" customHeight="1">
      <c r="A240" s="5" t="s">
        <v>323</v>
      </c>
      <c r="B240" s="6" t="s">
        <v>31</v>
      </c>
      <c r="C240" s="6">
        <v>2</v>
      </c>
      <c r="D240" s="6">
        <v>220</v>
      </c>
      <c r="E240" s="6">
        <v>496.5</v>
      </c>
      <c r="F240" s="6" t="s">
        <v>26</v>
      </c>
      <c r="G240" s="7">
        <v>489</v>
      </c>
      <c r="H240" s="7">
        <v>800</v>
      </c>
      <c r="I240" s="6">
        <v>2.7</v>
      </c>
      <c r="J240" s="6">
        <v>14</v>
      </c>
      <c r="K240" s="6"/>
      <c r="L240" s="6"/>
      <c r="M240" s="7"/>
      <c r="N240" s="9"/>
      <c r="O240" s="6"/>
      <c r="P240" s="6"/>
    </row>
    <row r="241" spans="1:16" ht="30.6" customHeight="1">
      <c r="A241" s="5" t="s">
        <v>324</v>
      </c>
      <c r="B241" s="6" t="s">
        <v>31</v>
      </c>
      <c r="C241" s="6">
        <v>2</v>
      </c>
      <c r="D241" s="6">
        <v>232</v>
      </c>
      <c r="E241" s="6">
        <v>618.1</v>
      </c>
      <c r="F241" s="6" t="s">
        <v>26</v>
      </c>
      <c r="G241" s="7">
        <v>616</v>
      </c>
      <c r="H241" s="7">
        <v>1004</v>
      </c>
      <c r="I241" s="6">
        <v>3.4</v>
      </c>
      <c r="J241" s="6">
        <v>12</v>
      </c>
      <c r="K241" s="6"/>
      <c r="L241" s="6"/>
      <c r="M241" s="7"/>
      <c r="N241" s="9"/>
      <c r="O241" s="6"/>
      <c r="P241" s="6"/>
    </row>
    <row r="242" spans="1:16" ht="30.6" customHeight="1">
      <c r="A242" s="5" t="s">
        <v>325</v>
      </c>
      <c r="B242" s="6" t="s">
        <v>31</v>
      </c>
      <c r="C242" s="6">
        <v>2</v>
      </c>
      <c r="D242" s="6">
        <v>185</v>
      </c>
      <c r="E242" s="6">
        <v>749.2</v>
      </c>
      <c r="F242" s="6" t="s">
        <v>26</v>
      </c>
      <c r="G242" s="7">
        <v>733</v>
      </c>
      <c r="H242" s="7">
        <v>1219</v>
      </c>
      <c r="I242" s="6">
        <v>4.0999999999999996</v>
      </c>
      <c r="J242" s="6">
        <v>22</v>
      </c>
      <c r="K242" s="6"/>
      <c r="L242" s="6"/>
      <c r="M242" s="7"/>
      <c r="N242" s="9"/>
      <c r="O242" s="6"/>
      <c r="P242" s="6"/>
    </row>
    <row r="243" spans="1:16" ht="30.6" customHeight="1">
      <c r="A243" s="5" t="s">
        <v>326</v>
      </c>
      <c r="B243" s="6"/>
      <c r="C243" s="6">
        <v>2</v>
      </c>
      <c r="D243" s="6">
        <v>268</v>
      </c>
      <c r="E243" s="6">
        <v>347.7</v>
      </c>
      <c r="F243" s="6" t="s">
        <v>26</v>
      </c>
      <c r="G243" s="7">
        <v>342</v>
      </c>
      <c r="H243" s="7">
        <v>342</v>
      </c>
      <c r="I243" s="6">
        <v>1.1000000000000001</v>
      </c>
      <c r="J243" s="6">
        <v>6</v>
      </c>
      <c r="K243" s="6"/>
      <c r="L243" s="6"/>
      <c r="M243" s="7"/>
      <c r="N243" s="9"/>
      <c r="O243" s="6"/>
      <c r="P243" s="6"/>
    </row>
    <row r="244" spans="1:16" ht="30.6" customHeight="1">
      <c r="A244" s="5" t="s">
        <v>327</v>
      </c>
      <c r="B244" s="6" t="s">
        <v>328</v>
      </c>
      <c r="C244" s="6">
        <v>2</v>
      </c>
      <c r="D244" s="6">
        <v>44</v>
      </c>
      <c r="E244" s="6">
        <v>976.4</v>
      </c>
      <c r="F244" s="6" t="s">
        <v>26</v>
      </c>
      <c r="G244" s="7">
        <v>978</v>
      </c>
      <c r="H244" s="7">
        <v>2524</v>
      </c>
      <c r="I244" s="6">
        <v>8</v>
      </c>
      <c r="J244" s="6">
        <v>20</v>
      </c>
      <c r="K244" s="6"/>
      <c r="L244" s="6"/>
      <c r="M244" s="7"/>
      <c r="N244" s="9"/>
      <c r="O244" s="6"/>
      <c r="P244" s="6"/>
    </row>
    <row r="245" spans="1:16" ht="30.6" customHeight="1">
      <c r="A245" s="5" t="s">
        <v>329</v>
      </c>
      <c r="B245" s="6" t="s">
        <v>40</v>
      </c>
      <c r="C245" s="6">
        <v>2</v>
      </c>
      <c r="D245" s="6">
        <v>296</v>
      </c>
      <c r="E245" s="6">
        <v>481.5</v>
      </c>
      <c r="F245" s="6" t="s">
        <v>26</v>
      </c>
      <c r="G245" s="7">
        <v>471</v>
      </c>
      <c r="H245" s="7">
        <v>1368</v>
      </c>
      <c r="I245" s="6">
        <v>4</v>
      </c>
      <c r="J245" s="6">
        <v>15</v>
      </c>
      <c r="K245" s="6"/>
      <c r="L245" s="6"/>
      <c r="M245" s="7"/>
      <c r="N245" s="9"/>
      <c r="O245" s="6"/>
      <c r="P245" s="6"/>
    </row>
    <row r="246" spans="1:16" ht="30.6" customHeight="1">
      <c r="A246" s="5" t="s">
        <v>330</v>
      </c>
      <c r="B246" s="6"/>
      <c r="C246" s="6">
        <v>2</v>
      </c>
      <c r="D246" s="6">
        <v>226</v>
      </c>
      <c r="E246" s="6">
        <v>319.5</v>
      </c>
      <c r="F246" s="6" t="s">
        <v>26</v>
      </c>
      <c r="G246" s="7">
        <v>316</v>
      </c>
      <c r="H246" s="7">
        <v>632</v>
      </c>
      <c r="I246" s="6">
        <v>2.1</v>
      </c>
      <c r="J246" s="6"/>
      <c r="K246" s="6"/>
      <c r="L246" s="6"/>
      <c r="M246" s="7"/>
      <c r="N246" s="9"/>
      <c r="O246" s="6"/>
      <c r="P246" s="6"/>
    </row>
    <row r="247" spans="1:16" ht="30.6" customHeight="1">
      <c r="A247" s="5" t="s">
        <v>331</v>
      </c>
      <c r="B247" s="6"/>
      <c r="C247" s="6">
        <v>2</v>
      </c>
      <c r="D247" s="6">
        <v>197</v>
      </c>
      <c r="E247" s="6">
        <v>1010.3</v>
      </c>
      <c r="F247" s="6" t="s">
        <v>26</v>
      </c>
      <c r="G247" s="7"/>
      <c r="H247" s="7"/>
      <c r="I247" s="6"/>
      <c r="J247" s="6"/>
      <c r="K247" s="6"/>
      <c r="L247" s="6"/>
      <c r="M247" s="7"/>
      <c r="N247" s="9"/>
      <c r="O247" s="6"/>
      <c r="P247" s="6"/>
    </row>
    <row r="248" spans="1:16" ht="30.6" customHeight="1">
      <c r="A248" s="5" t="s">
        <v>332</v>
      </c>
      <c r="B248" s="6" t="s">
        <v>40</v>
      </c>
      <c r="C248" s="6">
        <v>2</v>
      </c>
      <c r="D248" s="6">
        <v>313</v>
      </c>
      <c r="E248" s="6">
        <v>731.8</v>
      </c>
      <c r="F248" s="6" t="s">
        <v>26</v>
      </c>
      <c r="G248" s="7">
        <v>707</v>
      </c>
      <c r="H248" s="7">
        <v>1855</v>
      </c>
      <c r="I248" s="6">
        <v>6</v>
      </c>
      <c r="J248" s="6">
        <v>9</v>
      </c>
      <c r="K248" s="6"/>
      <c r="L248" s="6"/>
      <c r="M248" s="7"/>
      <c r="N248" s="9"/>
      <c r="O248" s="6"/>
      <c r="P248" s="6"/>
    </row>
    <row r="249" spans="1:16" ht="30.6" customHeight="1">
      <c r="A249" s="5" t="s">
        <v>333</v>
      </c>
      <c r="B249" s="6" t="s">
        <v>40</v>
      </c>
      <c r="C249" s="6">
        <v>2</v>
      </c>
      <c r="D249" s="6">
        <v>284</v>
      </c>
      <c r="E249" s="6">
        <v>471.8</v>
      </c>
      <c r="F249" s="6" t="s">
        <v>26</v>
      </c>
      <c r="G249" s="7">
        <v>471</v>
      </c>
      <c r="H249" s="7">
        <v>1180</v>
      </c>
      <c r="I249" s="6">
        <v>4</v>
      </c>
      <c r="J249" s="6">
        <v>9</v>
      </c>
      <c r="K249" s="6"/>
      <c r="L249" s="6"/>
      <c r="M249" s="7"/>
      <c r="N249" s="9"/>
      <c r="O249" s="6"/>
      <c r="P249" s="6"/>
    </row>
    <row r="250" spans="1:16" ht="30.6" customHeight="1">
      <c r="A250" s="5" t="s">
        <v>334</v>
      </c>
      <c r="B250" s="6" t="s">
        <v>40</v>
      </c>
      <c r="C250" s="6">
        <v>2</v>
      </c>
      <c r="D250" s="6">
        <v>299</v>
      </c>
      <c r="E250" s="6">
        <v>301.5</v>
      </c>
      <c r="F250" s="6" t="s">
        <v>26</v>
      </c>
      <c r="G250" s="7">
        <v>295</v>
      </c>
      <c r="H250" s="7">
        <v>933</v>
      </c>
      <c r="I250" s="6">
        <v>3</v>
      </c>
      <c r="J250" s="6">
        <v>9</v>
      </c>
      <c r="K250" s="6"/>
      <c r="L250" s="6"/>
      <c r="M250" s="7"/>
      <c r="N250" s="9"/>
      <c r="O250" s="6"/>
      <c r="P250" s="6"/>
    </row>
    <row r="251" spans="1:16" ht="30.6" customHeight="1">
      <c r="A251" s="5" t="s">
        <v>335</v>
      </c>
      <c r="B251" s="6" t="s">
        <v>254</v>
      </c>
      <c r="C251" s="6">
        <v>2</v>
      </c>
      <c r="D251" s="6">
        <v>200</v>
      </c>
      <c r="E251" s="6">
        <v>139.5</v>
      </c>
      <c r="F251" s="6" t="s">
        <v>336</v>
      </c>
      <c r="G251" s="7">
        <v>139.5</v>
      </c>
      <c r="H251" s="7">
        <v>2052</v>
      </c>
      <c r="I251" s="6">
        <v>6</v>
      </c>
      <c r="J251" s="6">
        <v>11</v>
      </c>
      <c r="K251" s="6"/>
      <c r="L251" s="6"/>
      <c r="M251" s="7"/>
      <c r="N251" s="9"/>
      <c r="O251" s="6"/>
      <c r="P251" s="6"/>
    </row>
    <row r="252" spans="1:16" ht="30.6" customHeight="1">
      <c r="A252" s="5" t="s">
        <v>335</v>
      </c>
      <c r="B252" s="6"/>
      <c r="C252" s="6">
        <v>2</v>
      </c>
      <c r="D252" s="6">
        <v>292</v>
      </c>
      <c r="E252" s="6">
        <v>719</v>
      </c>
      <c r="F252" s="6" t="s">
        <v>26</v>
      </c>
      <c r="G252" s="7">
        <v>707</v>
      </c>
      <c r="H252" s="7"/>
      <c r="I252" s="6"/>
      <c r="J252" s="6"/>
      <c r="K252" s="6"/>
      <c r="L252" s="6"/>
      <c r="M252" s="7"/>
      <c r="N252" s="9"/>
      <c r="O252" s="6"/>
      <c r="P252" s="6"/>
    </row>
    <row r="253" spans="1:16" ht="30.6" customHeight="1">
      <c r="A253" s="5" t="s">
        <v>337</v>
      </c>
      <c r="B253" s="6" t="s">
        <v>254</v>
      </c>
      <c r="C253" s="6">
        <v>2</v>
      </c>
      <c r="D253" s="6">
        <v>287</v>
      </c>
      <c r="E253" s="6">
        <v>235.6</v>
      </c>
      <c r="F253" s="6" t="s">
        <v>26</v>
      </c>
      <c r="G253" s="7">
        <v>382</v>
      </c>
      <c r="H253" s="7">
        <v>1710</v>
      </c>
      <c r="I253" s="6">
        <v>5</v>
      </c>
      <c r="J253" s="6">
        <v>6</v>
      </c>
      <c r="K253" s="6"/>
      <c r="L253" s="6"/>
      <c r="M253" s="7"/>
      <c r="N253" s="9"/>
      <c r="O253" s="6"/>
      <c r="P253" s="6"/>
    </row>
    <row r="254" spans="1:16" ht="30.6" customHeight="1">
      <c r="A254" s="5" t="s">
        <v>338</v>
      </c>
      <c r="B254" s="6" t="s">
        <v>40</v>
      </c>
      <c r="C254" s="6">
        <v>2</v>
      </c>
      <c r="D254" s="6">
        <v>278</v>
      </c>
      <c r="E254" s="6">
        <v>709.5</v>
      </c>
      <c r="F254" s="6" t="s">
        <v>26</v>
      </c>
      <c r="G254" s="7">
        <v>709</v>
      </c>
      <c r="H254" s="7">
        <v>2291.4</v>
      </c>
      <c r="I254" s="6">
        <v>6.7</v>
      </c>
      <c r="J254" s="6">
        <v>24</v>
      </c>
      <c r="K254" s="6"/>
      <c r="L254" s="6"/>
      <c r="M254" s="7"/>
      <c r="N254" s="9"/>
      <c r="O254" s="6"/>
      <c r="P254" s="6"/>
    </row>
    <row r="255" spans="1:16" ht="30.6" customHeight="1">
      <c r="A255" s="5" t="s">
        <v>339</v>
      </c>
      <c r="B255" s="6" t="s">
        <v>31</v>
      </c>
      <c r="C255" s="6">
        <v>2</v>
      </c>
      <c r="D255" s="6">
        <v>240</v>
      </c>
      <c r="E255" s="6">
        <v>324.3</v>
      </c>
      <c r="F255" s="6" t="s">
        <v>26</v>
      </c>
      <c r="G255" s="7">
        <v>319</v>
      </c>
      <c r="H255" s="7">
        <v>638</v>
      </c>
      <c r="I255" s="6">
        <v>2.1</v>
      </c>
      <c r="J255" s="6"/>
      <c r="K255" s="6"/>
      <c r="L255" s="6"/>
      <c r="M255" s="7"/>
      <c r="N255" s="9"/>
      <c r="O255" s="6"/>
      <c r="P255" s="6"/>
    </row>
    <row r="256" spans="1:16" ht="30.6" customHeight="1">
      <c r="A256" s="5" t="s">
        <v>340</v>
      </c>
      <c r="B256" s="6" t="s">
        <v>40</v>
      </c>
      <c r="C256" s="6">
        <v>2</v>
      </c>
      <c r="D256" s="6">
        <v>293</v>
      </c>
      <c r="E256" s="6">
        <v>299.60000000000002</v>
      </c>
      <c r="F256" s="6" t="s">
        <v>26</v>
      </c>
      <c r="G256" s="7">
        <v>295</v>
      </c>
      <c r="H256" s="7">
        <v>1026</v>
      </c>
      <c r="I256" s="6">
        <v>3</v>
      </c>
      <c r="J256" s="6">
        <v>6</v>
      </c>
      <c r="K256" s="6"/>
      <c r="L256" s="6"/>
      <c r="M256" s="7"/>
      <c r="N256" s="9"/>
      <c r="O256" s="6"/>
      <c r="P256" s="6"/>
    </row>
    <row r="257" spans="1:16" ht="30.6" customHeight="1">
      <c r="A257" s="5" t="s">
        <v>341</v>
      </c>
      <c r="B257" s="6" t="s">
        <v>342</v>
      </c>
      <c r="C257" s="6">
        <v>2</v>
      </c>
      <c r="D257" s="6">
        <v>149</v>
      </c>
      <c r="E257" s="6">
        <v>417.5</v>
      </c>
      <c r="F257" s="6" t="s">
        <v>26</v>
      </c>
      <c r="G257" s="7">
        <v>388</v>
      </c>
      <c r="H257" s="7">
        <v>960</v>
      </c>
      <c r="I257" s="6">
        <v>3</v>
      </c>
      <c r="J257" s="6">
        <v>9</v>
      </c>
      <c r="K257" s="6"/>
      <c r="L257" s="6"/>
      <c r="M257" s="7"/>
      <c r="N257" s="9"/>
      <c r="O257" s="6"/>
      <c r="P257" s="6"/>
    </row>
    <row r="258" spans="1:16" ht="30.6" customHeight="1">
      <c r="A258" s="5" t="s">
        <v>343</v>
      </c>
      <c r="B258" s="6" t="s">
        <v>254</v>
      </c>
      <c r="C258" s="6">
        <v>2</v>
      </c>
      <c r="D258" s="6">
        <v>199</v>
      </c>
      <c r="E258" s="6">
        <v>134.6</v>
      </c>
      <c r="F258" s="6" t="s">
        <v>336</v>
      </c>
      <c r="G258" s="7">
        <v>134.6</v>
      </c>
      <c r="H258" s="7">
        <v>134.6</v>
      </c>
      <c r="I258" s="6">
        <v>4</v>
      </c>
      <c r="J258" s="6">
        <v>11</v>
      </c>
      <c r="K258" s="6"/>
      <c r="L258" s="6"/>
      <c r="M258" s="7"/>
      <c r="N258" s="9"/>
      <c r="O258" s="6"/>
      <c r="P258" s="6"/>
    </row>
    <row r="259" spans="1:16" ht="30.6" customHeight="1">
      <c r="A259" s="5" t="s">
        <v>343</v>
      </c>
      <c r="B259" s="6"/>
      <c r="C259" s="6">
        <v>2</v>
      </c>
      <c r="D259" s="6">
        <v>282</v>
      </c>
      <c r="E259" s="6">
        <v>706</v>
      </c>
      <c r="F259" s="6" t="s">
        <v>26</v>
      </c>
      <c r="G259" s="7">
        <v>707</v>
      </c>
      <c r="H259" s="7">
        <v>1263.2</v>
      </c>
      <c r="I259" s="6"/>
      <c r="J259" s="6"/>
      <c r="K259" s="6"/>
      <c r="L259" s="6"/>
      <c r="M259" s="7"/>
      <c r="N259" s="9"/>
      <c r="O259" s="6"/>
      <c r="P259" s="6"/>
    </row>
    <row r="260" spans="1:16" ht="30.6" customHeight="1">
      <c r="A260" s="5" t="s">
        <v>344</v>
      </c>
      <c r="B260" s="6" t="s">
        <v>40</v>
      </c>
      <c r="C260" s="6">
        <v>2</v>
      </c>
      <c r="D260" s="6">
        <v>283</v>
      </c>
      <c r="E260" s="6">
        <v>472.8</v>
      </c>
      <c r="F260" s="6" t="s">
        <v>26</v>
      </c>
      <c r="G260" s="7">
        <v>471</v>
      </c>
      <c r="H260" s="7">
        <v>1366</v>
      </c>
      <c r="I260" s="6">
        <v>4</v>
      </c>
      <c r="J260" s="6">
        <v>14</v>
      </c>
      <c r="K260" s="6"/>
      <c r="L260" s="6"/>
      <c r="M260" s="7"/>
      <c r="N260" s="9"/>
      <c r="O260" s="6"/>
      <c r="P260" s="6"/>
    </row>
    <row r="261" spans="1:16" ht="30.6" customHeight="1">
      <c r="A261" s="5" t="s">
        <v>345</v>
      </c>
      <c r="B261" s="6" t="s">
        <v>40</v>
      </c>
      <c r="C261" s="6">
        <v>2</v>
      </c>
      <c r="D261" s="6">
        <v>309</v>
      </c>
      <c r="E261" s="6">
        <v>598.1</v>
      </c>
      <c r="F261" s="6" t="s">
        <v>26</v>
      </c>
      <c r="G261" s="7">
        <v>589</v>
      </c>
      <c r="H261" s="7">
        <v>1710</v>
      </c>
      <c r="I261" s="6">
        <v>5</v>
      </c>
      <c r="J261" s="6">
        <v>15</v>
      </c>
      <c r="K261" s="6"/>
      <c r="L261" s="6"/>
      <c r="M261" s="7"/>
      <c r="N261" s="9"/>
      <c r="O261" s="6"/>
      <c r="P261" s="6"/>
    </row>
    <row r="262" spans="1:16" ht="30.6" customHeight="1">
      <c r="A262" s="5" t="s">
        <v>346</v>
      </c>
      <c r="B262" s="6" t="s">
        <v>40</v>
      </c>
      <c r="C262" s="6">
        <v>2</v>
      </c>
      <c r="D262" s="6">
        <v>310</v>
      </c>
      <c r="E262" s="6">
        <v>596.70000000000005</v>
      </c>
      <c r="F262" s="6" t="s">
        <v>26</v>
      </c>
      <c r="G262" s="7">
        <v>589</v>
      </c>
      <c r="H262" s="7">
        <v>1710</v>
      </c>
      <c r="I262" s="6">
        <v>5</v>
      </c>
      <c r="J262" s="6">
        <v>15</v>
      </c>
      <c r="K262" s="6"/>
      <c r="L262" s="6"/>
      <c r="M262" s="7"/>
      <c r="N262" s="9"/>
      <c r="O262" s="6"/>
      <c r="P262" s="6"/>
    </row>
    <row r="263" spans="1:16" ht="30.6" customHeight="1">
      <c r="A263" s="5" t="s">
        <v>347</v>
      </c>
      <c r="B263" s="6" t="s">
        <v>31</v>
      </c>
      <c r="C263" s="6">
        <v>2</v>
      </c>
      <c r="D263" s="6">
        <v>179</v>
      </c>
      <c r="E263" s="6">
        <v>495.4</v>
      </c>
      <c r="F263" s="6" t="s">
        <v>26</v>
      </c>
      <c r="G263" s="7">
        <v>489</v>
      </c>
      <c r="H263" s="7">
        <v>810</v>
      </c>
      <c r="I263" s="6">
        <v>2</v>
      </c>
      <c r="J263" s="6">
        <v>10</v>
      </c>
      <c r="K263" s="6"/>
      <c r="L263" s="6"/>
      <c r="M263" s="7"/>
      <c r="N263" s="9"/>
      <c r="O263" s="6"/>
      <c r="P263" s="6"/>
    </row>
    <row r="264" spans="1:16" ht="30.6" customHeight="1">
      <c r="A264" s="5" t="s">
        <v>348</v>
      </c>
      <c r="B264" s="6" t="s">
        <v>349</v>
      </c>
      <c r="C264" s="6">
        <v>2</v>
      </c>
      <c r="D264" s="6">
        <v>41</v>
      </c>
      <c r="E264" s="6">
        <v>487.9</v>
      </c>
      <c r="F264" s="6" t="s">
        <v>26</v>
      </c>
      <c r="G264" s="7">
        <v>489</v>
      </c>
      <c r="H264" s="7">
        <v>1210</v>
      </c>
      <c r="I264" s="6">
        <v>4</v>
      </c>
      <c r="J264" s="6">
        <v>10</v>
      </c>
      <c r="K264" s="6"/>
      <c r="L264" s="6"/>
      <c r="M264" s="7"/>
      <c r="N264" s="9"/>
      <c r="O264" s="6"/>
      <c r="P264" s="6"/>
    </row>
    <row r="265" spans="1:16" ht="30.6" customHeight="1">
      <c r="A265" s="5" t="s">
        <v>350</v>
      </c>
      <c r="B265" s="6" t="s">
        <v>31</v>
      </c>
      <c r="C265" s="6">
        <v>2</v>
      </c>
      <c r="D265" s="6">
        <v>298</v>
      </c>
      <c r="E265" s="6">
        <v>301.7</v>
      </c>
      <c r="F265" s="6" t="s">
        <v>26</v>
      </c>
      <c r="G265" s="7">
        <v>295</v>
      </c>
      <c r="H265" s="7">
        <v>590</v>
      </c>
      <c r="I265" s="6">
        <v>2</v>
      </c>
      <c r="J265" s="6">
        <v>5</v>
      </c>
      <c r="K265" s="6"/>
      <c r="L265" s="6"/>
      <c r="M265" s="7"/>
      <c r="N265" s="9"/>
      <c r="O265" s="6"/>
      <c r="P265" s="6"/>
    </row>
    <row r="266" spans="1:16" ht="30.6" customHeight="1">
      <c r="A266" s="5" t="s">
        <v>351</v>
      </c>
      <c r="B266" s="6" t="s">
        <v>31</v>
      </c>
      <c r="C266" s="6">
        <v>2</v>
      </c>
      <c r="D266" s="6">
        <v>235</v>
      </c>
      <c r="E266" s="6">
        <v>502.2</v>
      </c>
      <c r="F266" s="6" t="s">
        <v>26</v>
      </c>
      <c r="G266" s="7">
        <v>489</v>
      </c>
      <c r="H266" s="7">
        <v>800</v>
      </c>
      <c r="I266" s="6">
        <v>2.7</v>
      </c>
      <c r="J266" s="6">
        <v>20</v>
      </c>
      <c r="K266" s="6"/>
      <c r="L266" s="6"/>
      <c r="M266" s="7"/>
      <c r="N266" s="9"/>
      <c r="O266" s="6"/>
      <c r="P266" s="6"/>
    </row>
    <row r="267" spans="1:16" ht="30.6" customHeight="1">
      <c r="A267" s="5" t="s">
        <v>352</v>
      </c>
      <c r="B267" s="6" t="s">
        <v>31</v>
      </c>
      <c r="C267" s="6">
        <v>2</v>
      </c>
      <c r="D267" s="6">
        <v>132</v>
      </c>
      <c r="E267" s="6">
        <v>347.7</v>
      </c>
      <c r="F267" s="6" t="s">
        <v>26</v>
      </c>
      <c r="G267" s="7">
        <v>342</v>
      </c>
      <c r="H267" s="7">
        <v>684</v>
      </c>
      <c r="I267" s="6">
        <v>2.2999999999999998</v>
      </c>
      <c r="J267" s="6">
        <v>1</v>
      </c>
      <c r="K267" s="6"/>
      <c r="L267" s="6"/>
      <c r="M267" s="7"/>
      <c r="N267" s="9"/>
      <c r="O267" s="6"/>
      <c r="P267" s="6"/>
    </row>
    <row r="268" spans="1:16" ht="30.6" customHeight="1">
      <c r="A268" s="5" t="s">
        <v>353</v>
      </c>
      <c r="B268" s="6"/>
      <c r="C268" s="6">
        <v>2</v>
      </c>
      <c r="D268" s="6">
        <v>262</v>
      </c>
      <c r="E268" s="6">
        <v>494.3</v>
      </c>
      <c r="F268" s="6" t="s">
        <v>26</v>
      </c>
      <c r="G268" s="7">
        <v>315</v>
      </c>
      <c r="H268" s="7">
        <v>315</v>
      </c>
      <c r="I268" s="6">
        <v>1</v>
      </c>
      <c r="J268" s="6">
        <v>3</v>
      </c>
      <c r="K268" s="6"/>
      <c r="L268" s="6"/>
      <c r="M268" s="7"/>
      <c r="N268" s="9"/>
      <c r="O268" s="6"/>
      <c r="P268" s="6"/>
    </row>
    <row r="269" spans="1:16" ht="30.6" customHeight="1">
      <c r="A269" s="5" t="s">
        <v>354</v>
      </c>
      <c r="B269" s="6"/>
      <c r="C269" s="6">
        <v>2</v>
      </c>
      <c r="D269" s="6">
        <v>213</v>
      </c>
      <c r="E269" s="6">
        <v>741.6</v>
      </c>
      <c r="F269" s="6" t="s">
        <v>26</v>
      </c>
      <c r="G269" s="7">
        <v>738</v>
      </c>
      <c r="H269" s="7"/>
      <c r="I269" s="6"/>
      <c r="J269" s="6"/>
      <c r="K269" s="6"/>
      <c r="L269" s="6"/>
      <c r="M269" s="7"/>
      <c r="N269" s="9"/>
      <c r="O269" s="6"/>
      <c r="P269" s="6"/>
    </row>
    <row r="270" spans="1:16" ht="30.6" customHeight="1">
      <c r="A270" s="5" t="s">
        <v>355</v>
      </c>
      <c r="B270" s="6" t="s">
        <v>31</v>
      </c>
      <c r="C270" s="6">
        <v>2</v>
      </c>
      <c r="D270" s="6">
        <v>188</v>
      </c>
      <c r="E270" s="6">
        <v>500.1</v>
      </c>
      <c r="F270" s="6" t="s">
        <v>26</v>
      </c>
      <c r="G270" s="7">
        <v>489</v>
      </c>
      <c r="H270" s="7">
        <v>800</v>
      </c>
      <c r="I270" s="6">
        <v>2.7</v>
      </c>
      <c r="J270" s="6">
        <v>5</v>
      </c>
      <c r="K270" s="6"/>
      <c r="L270" s="6"/>
      <c r="M270" s="7"/>
      <c r="N270" s="9"/>
      <c r="O270" s="6"/>
      <c r="P270" s="6"/>
    </row>
    <row r="271" spans="1:16" ht="30.6" customHeight="1">
      <c r="A271" s="5" t="s">
        <v>356</v>
      </c>
      <c r="B271" s="6" t="s">
        <v>357</v>
      </c>
      <c r="C271" s="6">
        <v>2</v>
      </c>
      <c r="D271" s="6">
        <v>2</v>
      </c>
      <c r="E271" s="6">
        <v>741.1</v>
      </c>
      <c r="F271" s="6" t="s">
        <v>26</v>
      </c>
      <c r="G271" s="7">
        <v>295</v>
      </c>
      <c r="H271" s="7">
        <v>590</v>
      </c>
      <c r="I271" s="6">
        <v>2</v>
      </c>
      <c r="J271" s="6">
        <v>11</v>
      </c>
      <c r="K271" s="6"/>
      <c r="L271" s="6"/>
      <c r="M271" s="7"/>
      <c r="N271" s="9"/>
      <c r="O271" s="6"/>
      <c r="P271" s="6"/>
    </row>
    <row r="272" spans="1:16" ht="30.6" customHeight="1">
      <c r="A272" s="5" t="s">
        <v>358</v>
      </c>
      <c r="B272" s="6" t="s">
        <v>31</v>
      </c>
      <c r="C272" s="6">
        <v>2</v>
      </c>
      <c r="D272" s="6">
        <v>217</v>
      </c>
      <c r="E272" s="6">
        <v>741.6</v>
      </c>
      <c r="F272" s="6" t="s">
        <v>26</v>
      </c>
      <c r="G272" s="7">
        <v>733</v>
      </c>
      <c r="H272" s="7">
        <v>1199</v>
      </c>
      <c r="I272" s="6">
        <v>4</v>
      </c>
      <c r="J272" s="6">
        <v>9</v>
      </c>
      <c r="K272" s="6"/>
      <c r="L272" s="6"/>
      <c r="M272" s="7"/>
      <c r="N272" s="9"/>
      <c r="O272" s="6"/>
      <c r="P272" s="6"/>
    </row>
    <row r="273" spans="1:16" ht="30.6" customHeight="1">
      <c r="A273" s="5" t="s">
        <v>359</v>
      </c>
      <c r="B273" s="6" t="s">
        <v>31</v>
      </c>
      <c r="C273" s="6">
        <v>2</v>
      </c>
      <c r="D273" s="6">
        <v>258</v>
      </c>
      <c r="E273" s="6">
        <v>861.5</v>
      </c>
      <c r="F273" s="6" t="s">
        <v>26</v>
      </c>
      <c r="G273" s="7">
        <v>856</v>
      </c>
      <c r="H273" s="7">
        <v>1440</v>
      </c>
      <c r="I273" s="6">
        <v>4.7</v>
      </c>
      <c r="J273" s="6">
        <v>21</v>
      </c>
      <c r="K273" s="6"/>
      <c r="L273" s="6"/>
      <c r="M273" s="7"/>
      <c r="N273" s="9"/>
      <c r="O273" s="6"/>
      <c r="P273" s="6"/>
    </row>
    <row r="274" spans="1:16" ht="30.6" customHeight="1">
      <c r="A274" s="5" t="s">
        <v>360</v>
      </c>
      <c r="B274" s="6" t="s">
        <v>31</v>
      </c>
      <c r="C274" s="6">
        <v>2</v>
      </c>
      <c r="D274" s="6">
        <v>249</v>
      </c>
      <c r="E274" s="6">
        <v>624.5</v>
      </c>
      <c r="F274" s="6" t="s">
        <v>26</v>
      </c>
      <c r="G274" s="7">
        <v>616</v>
      </c>
      <c r="H274" s="7">
        <v>1004</v>
      </c>
      <c r="I274" s="6">
        <v>3.4</v>
      </c>
      <c r="J274" s="6">
        <v>15</v>
      </c>
      <c r="K274" s="6"/>
      <c r="L274" s="6"/>
      <c r="M274" s="7"/>
      <c r="N274" s="9"/>
      <c r="O274" s="6"/>
      <c r="P274" s="6"/>
    </row>
    <row r="275" spans="1:16" ht="30.6" customHeight="1">
      <c r="A275" s="5" t="s">
        <v>361</v>
      </c>
      <c r="B275" s="6" t="s">
        <v>31</v>
      </c>
      <c r="C275" s="6">
        <v>2</v>
      </c>
      <c r="D275" s="6">
        <v>245</v>
      </c>
      <c r="E275" s="6">
        <v>737.5</v>
      </c>
      <c r="F275" s="6" t="s">
        <v>26</v>
      </c>
      <c r="G275" s="7">
        <v>733</v>
      </c>
      <c r="H275" s="7">
        <v>1199</v>
      </c>
      <c r="I275" s="6">
        <v>4</v>
      </c>
      <c r="J275" s="6">
        <v>16</v>
      </c>
      <c r="K275" s="6"/>
      <c r="L275" s="6"/>
      <c r="M275" s="7"/>
      <c r="N275" s="9"/>
      <c r="O275" s="6"/>
      <c r="P275" s="6"/>
    </row>
    <row r="276" spans="1:16" ht="30.6" customHeight="1">
      <c r="A276" s="5" t="s">
        <v>362</v>
      </c>
      <c r="B276" s="6" t="s">
        <v>31</v>
      </c>
      <c r="C276" s="6">
        <v>2</v>
      </c>
      <c r="D276" s="6">
        <v>184</v>
      </c>
      <c r="E276" s="6">
        <v>500</v>
      </c>
      <c r="F276" s="6" t="s">
        <v>26</v>
      </c>
      <c r="G276" s="7">
        <v>489</v>
      </c>
      <c r="H276" s="7">
        <v>885</v>
      </c>
      <c r="I276" s="6">
        <v>3</v>
      </c>
      <c r="J276" s="6">
        <v>10</v>
      </c>
      <c r="K276" s="6"/>
      <c r="L276" s="6"/>
      <c r="M276" s="7"/>
      <c r="N276" s="9"/>
      <c r="O276" s="6"/>
      <c r="P276" s="6"/>
    </row>
    <row r="277" spans="1:16" ht="30.6" customHeight="1">
      <c r="A277" s="5" t="s">
        <v>363</v>
      </c>
      <c r="B277" s="6"/>
      <c r="C277" s="6">
        <v>2</v>
      </c>
      <c r="D277" s="6">
        <v>248</v>
      </c>
      <c r="E277" s="6">
        <v>492</v>
      </c>
      <c r="F277" s="6" t="s">
        <v>26</v>
      </c>
      <c r="G277" s="7">
        <v>489</v>
      </c>
      <c r="H277" s="7"/>
      <c r="I277" s="6"/>
      <c r="J277" s="6"/>
      <c r="K277" s="6"/>
      <c r="L277" s="6"/>
      <c r="M277" s="7"/>
      <c r="N277" s="9"/>
      <c r="O277" s="6"/>
      <c r="P277" s="6"/>
    </row>
    <row r="278" spans="1:16" ht="30.6" customHeight="1">
      <c r="A278" s="5" t="s">
        <v>364</v>
      </c>
      <c r="B278" s="6" t="s">
        <v>31</v>
      </c>
      <c r="C278" s="6">
        <v>2</v>
      </c>
      <c r="D278" s="6">
        <v>209</v>
      </c>
      <c r="E278" s="6">
        <v>616.70000000000005</v>
      </c>
      <c r="F278" s="6" t="s">
        <v>26</v>
      </c>
      <c r="G278" s="7">
        <v>616</v>
      </c>
      <c r="H278" s="7">
        <v>1004</v>
      </c>
      <c r="I278" s="6">
        <v>3.4</v>
      </c>
      <c r="J278" s="6">
        <v>6</v>
      </c>
      <c r="K278" s="6"/>
      <c r="L278" s="6"/>
      <c r="M278" s="7"/>
      <c r="N278" s="9"/>
      <c r="O278" s="6"/>
      <c r="P278" s="6"/>
    </row>
    <row r="279" spans="1:16" ht="30.6" customHeight="1">
      <c r="A279" s="5" t="s">
        <v>365</v>
      </c>
      <c r="B279" s="6" t="s">
        <v>31</v>
      </c>
      <c r="C279" s="6">
        <v>2</v>
      </c>
      <c r="D279" s="6">
        <v>157</v>
      </c>
      <c r="E279" s="6">
        <v>607.20000000000005</v>
      </c>
      <c r="F279" s="6" t="s">
        <v>26</v>
      </c>
      <c r="G279" s="7">
        <v>588</v>
      </c>
      <c r="H279" s="7">
        <v>954</v>
      </c>
      <c r="I279" s="6">
        <v>3.2</v>
      </c>
      <c r="J279" s="6">
        <v>10</v>
      </c>
      <c r="K279" s="6"/>
      <c r="L279" s="6"/>
      <c r="M279" s="7"/>
      <c r="N279" s="9"/>
      <c r="O279" s="6"/>
      <c r="P279" s="6"/>
    </row>
    <row r="280" spans="1:16" ht="30.6" customHeight="1">
      <c r="A280" s="5" t="s">
        <v>366</v>
      </c>
      <c r="B280" s="6"/>
      <c r="C280" s="6">
        <v>2</v>
      </c>
      <c r="D280" s="6">
        <v>176</v>
      </c>
      <c r="E280" s="6">
        <v>371.6</v>
      </c>
      <c r="F280" s="6" t="s">
        <v>26</v>
      </c>
      <c r="G280" s="7">
        <v>366</v>
      </c>
      <c r="H280" s="7"/>
      <c r="I280" s="6"/>
      <c r="J280" s="6"/>
      <c r="K280" s="6"/>
      <c r="L280" s="6"/>
      <c r="M280" s="7"/>
      <c r="N280" s="9"/>
      <c r="O280" s="6"/>
      <c r="P280" s="6"/>
    </row>
    <row r="281" spans="1:16" ht="30.6" customHeight="1">
      <c r="A281" s="5" t="s">
        <v>367</v>
      </c>
      <c r="B281" s="6" t="s">
        <v>31</v>
      </c>
      <c r="C281" s="6">
        <v>2</v>
      </c>
      <c r="D281" s="6">
        <v>239</v>
      </c>
      <c r="E281" s="6">
        <v>565.5</v>
      </c>
      <c r="F281" s="6" t="s">
        <v>26</v>
      </c>
      <c r="G281" s="7">
        <v>559</v>
      </c>
      <c r="H281" s="7">
        <v>909</v>
      </c>
      <c r="I281" s="6">
        <v>3</v>
      </c>
      <c r="J281" s="6">
        <v>12</v>
      </c>
      <c r="K281" s="6"/>
      <c r="L281" s="6"/>
      <c r="M281" s="7"/>
      <c r="N281" s="9"/>
      <c r="O281" s="6"/>
      <c r="P281" s="6"/>
    </row>
    <row r="282" spans="1:16" ht="30.6" customHeight="1">
      <c r="A282" s="5" t="s">
        <v>368</v>
      </c>
      <c r="B282" s="6" t="s">
        <v>40</v>
      </c>
      <c r="C282" s="6">
        <v>2</v>
      </c>
      <c r="D282" s="6">
        <v>4</v>
      </c>
      <c r="E282" s="6">
        <v>489.6</v>
      </c>
      <c r="F282" s="6" t="s">
        <v>26</v>
      </c>
      <c r="G282" s="7">
        <v>489</v>
      </c>
      <c r="H282" s="7">
        <v>1181</v>
      </c>
      <c r="I282" s="6">
        <v>4</v>
      </c>
      <c r="J282" s="6">
        <v>15</v>
      </c>
      <c r="K282" s="6"/>
      <c r="L282" s="6"/>
      <c r="M282" s="7"/>
      <c r="N282" s="9"/>
      <c r="O282" s="6"/>
      <c r="P282" s="6"/>
    </row>
    <row r="283" spans="1:16" ht="30.6" customHeight="1">
      <c r="A283" s="5" t="s">
        <v>368</v>
      </c>
      <c r="B283" s="6"/>
      <c r="C283" s="6">
        <v>2</v>
      </c>
      <c r="D283" s="6">
        <v>60</v>
      </c>
      <c r="E283" s="6">
        <v>317.39999999999998</v>
      </c>
      <c r="F283" s="6" t="s">
        <v>26</v>
      </c>
      <c r="G283" s="7">
        <v>311</v>
      </c>
      <c r="H283" s="7"/>
      <c r="I283" s="6"/>
      <c r="J283" s="6"/>
      <c r="K283" s="6"/>
      <c r="L283" s="6"/>
      <c r="M283" s="7"/>
      <c r="N283" s="9"/>
      <c r="O283" s="6"/>
      <c r="P283" s="6"/>
    </row>
    <row r="284" spans="1:16" ht="30.6" customHeight="1">
      <c r="A284" s="5" t="s">
        <v>369</v>
      </c>
      <c r="B284" s="6" t="s">
        <v>31</v>
      </c>
      <c r="C284" s="6">
        <v>2</v>
      </c>
      <c r="D284" s="6">
        <v>192</v>
      </c>
      <c r="E284" s="6">
        <v>352.9</v>
      </c>
      <c r="F284" s="6" t="s">
        <v>26</v>
      </c>
      <c r="G284" s="7">
        <v>344</v>
      </c>
      <c r="H284" s="7">
        <v>728</v>
      </c>
      <c r="I284" s="6">
        <v>2.4</v>
      </c>
      <c r="J284" s="6"/>
      <c r="K284" s="6"/>
      <c r="L284" s="6"/>
      <c r="M284" s="7"/>
      <c r="N284" s="9"/>
      <c r="O284" s="6"/>
      <c r="P284" s="6"/>
    </row>
    <row r="285" spans="1:16" ht="30.6" customHeight="1">
      <c r="A285" s="5" t="s">
        <v>370</v>
      </c>
      <c r="B285" s="6" t="s">
        <v>40</v>
      </c>
      <c r="C285" s="6">
        <v>2</v>
      </c>
      <c r="D285" s="6">
        <v>89</v>
      </c>
      <c r="E285" s="6">
        <v>491.5</v>
      </c>
      <c r="F285" s="6" t="s">
        <v>26</v>
      </c>
      <c r="G285" s="7">
        <v>489</v>
      </c>
      <c r="H285" s="7">
        <v>1180</v>
      </c>
      <c r="I285" s="6">
        <v>4</v>
      </c>
      <c r="J285" s="6">
        <v>13</v>
      </c>
      <c r="K285" s="6"/>
      <c r="L285" s="6"/>
      <c r="M285" s="7"/>
      <c r="N285" s="9"/>
      <c r="O285" s="6"/>
      <c r="P285" s="6"/>
    </row>
    <row r="286" spans="1:16" ht="30.6" customHeight="1">
      <c r="A286" s="5" t="s">
        <v>370</v>
      </c>
      <c r="B286" s="6" t="s">
        <v>40</v>
      </c>
      <c r="C286" s="6">
        <v>2</v>
      </c>
      <c r="D286" s="6">
        <v>92</v>
      </c>
      <c r="E286" s="6">
        <v>492.6</v>
      </c>
      <c r="F286" s="6" t="s">
        <v>26</v>
      </c>
      <c r="G286" s="7"/>
      <c r="H286" s="7"/>
      <c r="I286" s="6"/>
      <c r="J286" s="6"/>
      <c r="K286" s="6"/>
      <c r="L286" s="6"/>
      <c r="M286" s="7"/>
      <c r="N286" s="9"/>
      <c r="O286" s="6"/>
      <c r="P286" s="6"/>
    </row>
    <row r="287" spans="1:16" ht="30.6" customHeight="1">
      <c r="A287" s="5" t="s">
        <v>371</v>
      </c>
      <c r="B287" s="6" t="s">
        <v>372</v>
      </c>
      <c r="C287" s="6">
        <v>2</v>
      </c>
      <c r="D287" s="6">
        <v>24</v>
      </c>
      <c r="E287" s="6">
        <v>834.9</v>
      </c>
      <c r="F287" s="6" t="s">
        <v>26</v>
      </c>
      <c r="G287" s="7">
        <v>856</v>
      </c>
      <c r="H287" s="7">
        <v>2308</v>
      </c>
      <c r="I287" s="6">
        <v>7.8</v>
      </c>
      <c r="J287" s="6">
        <v>15</v>
      </c>
      <c r="K287" s="6"/>
      <c r="L287" s="6"/>
      <c r="M287" s="7"/>
      <c r="N287" s="9"/>
      <c r="O287" s="6"/>
      <c r="P287" s="6"/>
    </row>
    <row r="288" spans="1:16" ht="30.6" customHeight="1">
      <c r="A288" s="10" t="s">
        <v>373</v>
      </c>
      <c r="B288" s="11">
        <v>1</v>
      </c>
      <c r="C288" s="11">
        <v>2</v>
      </c>
      <c r="D288" s="6"/>
      <c r="E288" s="6"/>
      <c r="F288" s="6"/>
      <c r="G288" s="12">
        <v>295</v>
      </c>
      <c r="H288" s="12">
        <v>295</v>
      </c>
      <c r="I288" s="6"/>
      <c r="J288" s="6"/>
      <c r="K288" s="6"/>
      <c r="L288" s="6"/>
      <c r="M288" s="7"/>
      <c r="N288" s="9"/>
      <c r="O288" s="6"/>
      <c r="P288" s="6"/>
    </row>
    <row r="289" spans="1:16" ht="30.6" customHeight="1">
      <c r="A289" s="10" t="s">
        <v>374</v>
      </c>
      <c r="B289" s="11">
        <v>5</v>
      </c>
      <c r="C289" s="11">
        <v>2</v>
      </c>
      <c r="D289" s="6"/>
      <c r="E289" s="6"/>
      <c r="F289" s="6"/>
      <c r="G289" s="12">
        <v>489</v>
      </c>
      <c r="H289" s="12">
        <v>489</v>
      </c>
      <c r="I289" s="6"/>
      <c r="J289" s="6"/>
      <c r="K289" s="6"/>
      <c r="L289" s="6"/>
      <c r="M289" s="7"/>
      <c r="N289" s="9"/>
      <c r="O289" s="6"/>
      <c r="P289" s="6"/>
    </row>
  </sheetData>
  <mergeCells count="1">
    <mergeCell ref="A1:P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27"/>
  <sheetViews>
    <sheetView zoomScale="85" zoomScaleNormal="85" workbookViewId="0">
      <pane xSplit="3" ySplit="7" topLeftCell="W352" activePane="bottomRight" state="frozen"/>
      <selection pane="topRight"/>
      <selection pane="bottomLeft"/>
      <selection pane="bottomRight" activeCell="AE353" sqref="AE353"/>
    </sheetView>
  </sheetViews>
  <sheetFormatPr defaultColWidth="9" defaultRowHeight="15"/>
  <cols>
    <col min="1" max="1" width="5.42578125" style="1" customWidth="1"/>
    <col min="2" max="2" width="27" style="88" customWidth="1"/>
    <col min="3" max="3" width="5.42578125" style="2" customWidth="1"/>
    <col min="4" max="4" width="6.42578125" style="2" customWidth="1"/>
    <col min="5" max="5" width="9.5703125" style="1" customWidth="1"/>
    <col min="6" max="6" width="6.42578125" style="1" customWidth="1"/>
    <col min="7" max="7" width="9.5703125" style="1" customWidth="1"/>
    <col min="8" max="8" width="8.5703125" style="1" customWidth="1"/>
    <col min="9" max="9" width="10" style="1" customWidth="1"/>
    <col min="10" max="10" width="10.5703125" style="1" customWidth="1"/>
    <col min="11" max="11" width="6.5703125" style="1" hidden="1" customWidth="1"/>
    <col min="12" max="12" width="8.140625" style="1" customWidth="1"/>
    <col min="13" max="13" width="8.42578125" style="1" customWidth="1"/>
    <col min="14" max="14" width="7.5703125" style="1" customWidth="1"/>
    <col min="15" max="15" width="8.42578125" style="1" customWidth="1"/>
    <col min="16" max="16" width="15.42578125" style="1" customWidth="1"/>
    <col min="17" max="17" width="16.5703125" style="1" customWidth="1"/>
    <col min="18" max="18" width="16.140625" style="1" customWidth="1"/>
    <col min="19" max="19" width="17" style="1" customWidth="1"/>
    <col min="20" max="20" width="40" style="2" customWidth="1"/>
    <col min="21" max="21" width="9.42578125" style="1" hidden="1" customWidth="1"/>
    <col min="22" max="22" width="10.140625" style="1" hidden="1" customWidth="1"/>
    <col min="23" max="23" width="11.85546875" style="1" customWidth="1"/>
    <col min="24" max="24" width="8.7109375" style="2" customWidth="1"/>
    <col min="25" max="25" width="11.140625" style="1" customWidth="1"/>
    <col min="26" max="26" width="13.28515625" style="2" hidden="1" customWidth="1"/>
    <col min="27" max="27" width="9.7109375" style="2" customWidth="1"/>
    <col min="28" max="28" width="14.42578125" style="2" customWidth="1"/>
    <col min="29" max="29" width="16" style="1" customWidth="1"/>
    <col min="30" max="30" width="16.42578125" style="90" customWidth="1"/>
    <col min="31" max="31" width="16.140625" style="2" customWidth="1"/>
    <col min="32" max="32" width="16" style="2" customWidth="1"/>
    <col min="33" max="16384" width="9" style="2"/>
  </cols>
  <sheetData>
    <row r="1" spans="1:255" ht="32.25" customHeight="1">
      <c r="A1" s="270" t="s">
        <v>443</v>
      </c>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row>
    <row r="2" spans="1:255" ht="32.25" customHeight="1">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row>
    <row r="3" spans="1:255" ht="21.75" customHeight="1">
      <c r="A3" s="243" t="s">
        <v>4</v>
      </c>
      <c r="B3" s="243" t="s">
        <v>434</v>
      </c>
      <c r="C3" s="243" t="s">
        <v>375</v>
      </c>
      <c r="D3" s="243"/>
      <c r="E3" s="243"/>
      <c r="F3" s="243"/>
      <c r="G3" s="243"/>
      <c r="H3" s="243"/>
      <c r="I3" s="243"/>
      <c r="J3" s="243"/>
      <c r="K3" s="243"/>
      <c r="L3" s="243" t="s">
        <v>376</v>
      </c>
      <c r="M3" s="252" t="s">
        <v>377</v>
      </c>
      <c r="N3" s="252" t="s">
        <v>18</v>
      </c>
      <c r="O3" s="243" t="s">
        <v>378</v>
      </c>
      <c r="P3" s="243"/>
      <c r="Q3" s="243"/>
      <c r="R3" s="243"/>
      <c r="S3" s="243"/>
      <c r="T3" s="243" t="s">
        <v>379</v>
      </c>
      <c r="U3" s="243"/>
      <c r="V3" s="243"/>
      <c r="W3" s="243"/>
      <c r="X3" s="243"/>
      <c r="Y3" s="243"/>
      <c r="Z3" s="243"/>
      <c r="AA3" s="243"/>
      <c r="AB3" s="243"/>
      <c r="AC3" s="243"/>
      <c r="AD3" s="243" t="s">
        <v>380</v>
      </c>
    </row>
    <row r="4" spans="1:255" ht="28.5" customHeight="1">
      <c r="A4" s="243"/>
      <c r="B4" s="243"/>
      <c r="C4" s="243" t="s">
        <v>381</v>
      </c>
      <c r="D4" s="243"/>
      <c r="E4" s="243"/>
      <c r="F4" s="243" t="s">
        <v>382</v>
      </c>
      <c r="G4" s="243"/>
      <c r="H4" s="243"/>
      <c r="I4" s="243"/>
      <c r="J4" s="243"/>
      <c r="K4" s="243"/>
      <c r="L4" s="243"/>
      <c r="M4" s="252"/>
      <c r="N4" s="252"/>
      <c r="O4" s="243"/>
      <c r="P4" s="243"/>
      <c r="Q4" s="243"/>
      <c r="R4" s="243"/>
      <c r="S4" s="243"/>
      <c r="T4" s="243"/>
      <c r="U4" s="243"/>
      <c r="V4" s="243"/>
      <c r="W4" s="243"/>
      <c r="X4" s="243"/>
      <c r="Y4" s="243"/>
      <c r="Z4" s="243"/>
      <c r="AA4" s="243"/>
      <c r="AB4" s="243"/>
      <c r="AC4" s="243"/>
      <c r="AD4" s="243"/>
      <c r="AE4" s="26"/>
    </row>
    <row r="5" spans="1:255" ht="98.25" customHeight="1">
      <c r="A5" s="243"/>
      <c r="B5" s="243"/>
      <c r="C5" s="27" t="s">
        <v>11</v>
      </c>
      <c r="D5" s="27" t="s">
        <v>12</v>
      </c>
      <c r="E5" s="27" t="s">
        <v>440</v>
      </c>
      <c r="F5" s="27" t="s">
        <v>14</v>
      </c>
      <c r="G5" s="28" t="s">
        <v>439</v>
      </c>
      <c r="H5" s="29" t="s">
        <v>438</v>
      </c>
      <c r="I5" s="28" t="s">
        <v>383</v>
      </c>
      <c r="J5" s="28" t="s">
        <v>437</v>
      </c>
      <c r="K5" s="27" t="s">
        <v>17</v>
      </c>
      <c r="L5" s="243"/>
      <c r="M5" s="252"/>
      <c r="N5" s="252"/>
      <c r="O5" s="28" t="s">
        <v>384</v>
      </c>
      <c r="P5" s="28" t="s">
        <v>385</v>
      </c>
      <c r="Q5" s="28" t="s">
        <v>386</v>
      </c>
      <c r="R5" s="28" t="s">
        <v>387</v>
      </c>
      <c r="S5" s="28" t="s">
        <v>388</v>
      </c>
      <c r="T5" s="27" t="s">
        <v>19</v>
      </c>
      <c r="U5" s="27" t="s">
        <v>397</v>
      </c>
      <c r="V5" s="27" t="s">
        <v>433</v>
      </c>
      <c r="W5" s="27" t="s">
        <v>20</v>
      </c>
      <c r="X5" s="28" t="s">
        <v>21</v>
      </c>
      <c r="Y5" s="28" t="s">
        <v>5</v>
      </c>
      <c r="Z5" s="27" t="s">
        <v>22</v>
      </c>
      <c r="AA5" s="27" t="s">
        <v>23</v>
      </c>
      <c r="AB5" s="28" t="s">
        <v>389</v>
      </c>
      <c r="AC5" s="28" t="s">
        <v>390</v>
      </c>
      <c r="AD5" s="243"/>
      <c r="AE5" s="26"/>
    </row>
    <row r="6" spans="1:255" ht="18" hidden="1" customHeight="1">
      <c r="A6" s="27"/>
      <c r="B6" s="30"/>
      <c r="C6" s="27"/>
      <c r="D6" s="27"/>
      <c r="E6" s="27"/>
      <c r="F6" s="27"/>
      <c r="G6" s="28"/>
      <c r="H6" s="29"/>
      <c r="I6" s="31"/>
      <c r="J6" s="31"/>
      <c r="K6" s="27"/>
      <c r="L6" s="27"/>
      <c r="M6" s="28"/>
      <c r="N6" s="28"/>
      <c r="O6" s="28">
        <v>80000</v>
      </c>
      <c r="P6" s="28"/>
      <c r="Q6" s="28">
        <f>O6*3</f>
        <v>240000</v>
      </c>
      <c r="R6" s="28">
        <f>17000*30</f>
        <v>510000</v>
      </c>
      <c r="S6" s="28"/>
      <c r="T6" s="30"/>
      <c r="U6" s="27"/>
      <c r="V6" s="27"/>
      <c r="W6" s="27"/>
      <c r="X6" s="28"/>
      <c r="Y6" s="28"/>
      <c r="Z6" s="27"/>
      <c r="AA6" s="27"/>
      <c r="AB6" s="28"/>
      <c r="AC6" s="28"/>
      <c r="AD6" s="27"/>
      <c r="AE6" s="26"/>
    </row>
    <row r="7" spans="1:255" s="1" customFormat="1" ht="22.5" customHeight="1">
      <c r="A7" s="27">
        <v>1</v>
      </c>
      <c r="B7" s="27">
        <v>2</v>
      </c>
      <c r="C7" s="27">
        <v>3</v>
      </c>
      <c r="D7" s="27">
        <v>4</v>
      </c>
      <c r="E7" s="27">
        <v>5</v>
      </c>
      <c r="F7" s="27">
        <v>6</v>
      </c>
      <c r="G7" s="28">
        <v>7</v>
      </c>
      <c r="H7" s="28">
        <v>8</v>
      </c>
      <c r="I7" s="31">
        <v>9</v>
      </c>
      <c r="J7" s="31">
        <v>10</v>
      </c>
      <c r="K7" s="27"/>
      <c r="L7" s="27">
        <v>11</v>
      </c>
      <c r="M7" s="28">
        <v>12</v>
      </c>
      <c r="N7" s="28">
        <v>13</v>
      </c>
      <c r="O7" s="28">
        <v>14</v>
      </c>
      <c r="P7" s="28">
        <v>15</v>
      </c>
      <c r="Q7" s="28">
        <v>16</v>
      </c>
      <c r="R7" s="28">
        <v>17</v>
      </c>
      <c r="S7" s="28">
        <v>18</v>
      </c>
      <c r="T7" s="27">
        <v>19</v>
      </c>
      <c r="U7" s="27"/>
      <c r="V7" s="27"/>
      <c r="W7" s="27">
        <v>20</v>
      </c>
      <c r="X7" s="28">
        <v>21</v>
      </c>
      <c r="Y7" s="28">
        <v>22</v>
      </c>
      <c r="Z7" s="27">
        <v>23</v>
      </c>
      <c r="AA7" s="27">
        <v>24</v>
      </c>
      <c r="AB7" s="28">
        <v>25</v>
      </c>
      <c r="AC7" s="28">
        <v>26</v>
      </c>
      <c r="AD7" s="27" t="s">
        <v>391</v>
      </c>
      <c r="AE7" s="32"/>
    </row>
    <row r="8" spans="1:255" s="93" customFormat="1" ht="22.5" customHeight="1">
      <c r="A8" s="24"/>
      <c r="B8" s="24" t="s">
        <v>656</v>
      </c>
      <c r="C8" s="24"/>
      <c r="D8" s="24"/>
      <c r="E8" s="24"/>
      <c r="F8" s="24"/>
      <c r="G8" s="25"/>
      <c r="H8" s="25"/>
      <c r="I8" s="91"/>
      <c r="J8" s="91"/>
      <c r="K8" s="24"/>
      <c r="L8" s="24"/>
      <c r="M8" s="25"/>
      <c r="N8" s="25"/>
      <c r="O8" s="25"/>
      <c r="P8" s="25"/>
      <c r="Q8" s="25"/>
      <c r="R8" s="25"/>
      <c r="S8" s="25"/>
      <c r="T8" s="24"/>
      <c r="U8" s="24"/>
      <c r="V8" s="24"/>
      <c r="W8" s="24"/>
      <c r="X8" s="25"/>
      <c r="Y8" s="25"/>
      <c r="Z8" s="24"/>
      <c r="AA8" s="24"/>
      <c r="AB8" s="25"/>
      <c r="AC8" s="25"/>
      <c r="AD8" s="24"/>
      <c r="AE8" s="92"/>
    </row>
    <row r="9" spans="1:255" s="123" customFormat="1" ht="38.25" customHeight="1">
      <c r="A9" s="216">
        <v>1</v>
      </c>
      <c r="B9" s="221" t="s">
        <v>655</v>
      </c>
      <c r="C9" s="217">
        <v>64</v>
      </c>
      <c r="D9" s="217">
        <v>397</v>
      </c>
      <c r="E9" s="218">
        <v>1079.5999999999999</v>
      </c>
      <c r="F9" s="218" t="s">
        <v>393</v>
      </c>
      <c r="G9" s="220">
        <v>1080</v>
      </c>
      <c r="H9" s="220">
        <f>E9-G9</f>
        <v>-0.40000000000009095</v>
      </c>
      <c r="I9" s="220">
        <v>1080</v>
      </c>
      <c r="J9" s="213">
        <v>1350</v>
      </c>
      <c r="K9" s="124"/>
      <c r="L9" s="214">
        <f>(I9+I19)/J9*100</f>
        <v>100</v>
      </c>
      <c r="M9" s="215">
        <f>IF(L9&lt;10,2,IF(L9&lt;20,3,IF(L9&lt;30,5,IF(L9&gt;=70,12,IF(L9&gt;=30,6)))))</f>
        <v>12</v>
      </c>
      <c r="N9" s="215">
        <v>3</v>
      </c>
      <c r="O9" s="215">
        <f>$O$6</f>
        <v>80000</v>
      </c>
      <c r="P9" s="215">
        <f>(I9+I19)*O9</f>
        <v>108000000</v>
      </c>
      <c r="Q9" s="215">
        <f>$Q$6*(I9+I19)</f>
        <v>324000000</v>
      </c>
      <c r="R9" s="215">
        <f>M9*N9*$R$6</f>
        <v>18360000</v>
      </c>
      <c r="S9" s="215">
        <f>R9+Q9+P9</f>
        <v>450360000</v>
      </c>
      <c r="T9" s="117" t="s">
        <v>491</v>
      </c>
      <c r="U9" s="112"/>
      <c r="V9" s="125"/>
      <c r="W9" s="118" t="s">
        <v>0</v>
      </c>
      <c r="X9" s="120">
        <v>400</v>
      </c>
      <c r="Y9" s="120">
        <v>97000</v>
      </c>
      <c r="Z9" s="124"/>
      <c r="AA9" s="121">
        <v>1</v>
      </c>
      <c r="AB9" s="122">
        <f>X9*Y9*AA9</f>
        <v>38800000</v>
      </c>
      <c r="AC9" s="212">
        <f>SUM(AB9:AB18)</f>
        <v>176650000</v>
      </c>
      <c r="AD9" s="212">
        <f>S9+AC9+AC19</f>
        <v>687760000</v>
      </c>
      <c r="AE9" s="239" t="s">
        <v>492</v>
      </c>
      <c r="AF9" s="130"/>
      <c r="AG9" s="130"/>
      <c r="AH9" s="130"/>
      <c r="AI9" s="130"/>
      <c r="AJ9" s="130"/>
      <c r="AK9" s="130"/>
      <c r="AL9" s="130"/>
      <c r="AM9" s="130"/>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0"/>
      <c r="CN9" s="130"/>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0"/>
      <c r="EG9" s="130"/>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0"/>
      <c r="FZ9" s="130"/>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0"/>
      <c r="HS9" s="130"/>
      <c r="HT9" s="130"/>
      <c r="HU9" s="130"/>
      <c r="HV9" s="130"/>
      <c r="HW9" s="130"/>
      <c r="HX9" s="130"/>
      <c r="HY9" s="130"/>
      <c r="HZ9" s="130"/>
      <c r="IA9" s="130"/>
      <c r="IB9" s="130"/>
      <c r="IC9" s="130"/>
      <c r="ID9" s="130"/>
      <c r="IE9" s="130"/>
      <c r="IF9" s="130"/>
      <c r="IG9" s="130"/>
      <c r="IH9" s="130"/>
      <c r="II9" s="130"/>
      <c r="IJ9" s="130"/>
      <c r="IK9" s="130"/>
      <c r="IL9" s="130"/>
      <c r="IM9" s="130"/>
      <c r="IN9" s="130"/>
      <c r="IO9" s="130"/>
      <c r="IP9" s="130"/>
      <c r="IQ9" s="130"/>
      <c r="IR9" s="130"/>
      <c r="IS9" s="130"/>
      <c r="IT9" s="130"/>
      <c r="IU9" s="130"/>
    </row>
    <row r="10" spans="1:255" s="123" customFormat="1" ht="33.75" customHeight="1">
      <c r="A10" s="216"/>
      <c r="B10" s="223"/>
      <c r="C10" s="217"/>
      <c r="D10" s="217"/>
      <c r="E10" s="218"/>
      <c r="F10" s="218"/>
      <c r="G10" s="220"/>
      <c r="H10" s="220"/>
      <c r="I10" s="220"/>
      <c r="J10" s="213"/>
      <c r="K10" s="124"/>
      <c r="L10" s="214"/>
      <c r="M10" s="215"/>
      <c r="N10" s="215"/>
      <c r="O10" s="215"/>
      <c r="P10" s="215"/>
      <c r="Q10" s="215"/>
      <c r="R10" s="215"/>
      <c r="S10" s="215"/>
      <c r="T10" s="94" t="s">
        <v>493</v>
      </c>
      <c r="U10" s="129">
        <v>25</v>
      </c>
      <c r="V10" s="125">
        <f>(G9-X9)/U10</f>
        <v>27.2</v>
      </c>
      <c r="W10" s="125" t="str">
        <f>'[1]bang gia'!$C$46</f>
        <v>đồng/cây</v>
      </c>
      <c r="X10" s="120">
        <v>30</v>
      </c>
      <c r="Y10" s="98"/>
      <c r="Z10" s="124"/>
      <c r="AA10" s="121"/>
      <c r="AB10" s="122"/>
      <c r="AC10" s="212"/>
      <c r="AD10" s="212"/>
      <c r="AE10" s="240"/>
    </row>
    <row r="11" spans="1:255" s="123" customFormat="1" ht="25.5" customHeight="1">
      <c r="A11" s="216"/>
      <c r="B11" s="223"/>
      <c r="C11" s="217"/>
      <c r="D11" s="217"/>
      <c r="E11" s="218"/>
      <c r="F11" s="218"/>
      <c r="G11" s="220"/>
      <c r="H11" s="220"/>
      <c r="I11" s="220"/>
      <c r="J11" s="213"/>
      <c r="K11" s="124"/>
      <c r="L11" s="214"/>
      <c r="M11" s="215"/>
      <c r="N11" s="215"/>
      <c r="O11" s="215"/>
      <c r="P11" s="215"/>
      <c r="Q11" s="215"/>
      <c r="R11" s="215"/>
      <c r="S11" s="215"/>
      <c r="T11" s="133" t="s">
        <v>399</v>
      </c>
      <c r="U11" s="129"/>
      <c r="V11" s="125"/>
      <c r="W11" s="125" t="str">
        <f>'[1]bang gia'!$C$46</f>
        <v>đồng/cây</v>
      </c>
      <c r="X11" s="120">
        <v>27</v>
      </c>
      <c r="Y11" s="98">
        <v>4500000</v>
      </c>
      <c r="Z11" s="124"/>
      <c r="AA11" s="121">
        <v>1</v>
      </c>
      <c r="AB11" s="122">
        <f t="shared" ref="AB11:AB16" si="0">X11*Y11*AA11</f>
        <v>121500000</v>
      </c>
      <c r="AC11" s="212"/>
      <c r="AD11" s="212"/>
      <c r="AE11" s="240"/>
    </row>
    <row r="12" spans="1:255" s="123" customFormat="1" ht="25.5" customHeight="1">
      <c r="A12" s="216"/>
      <c r="B12" s="223"/>
      <c r="C12" s="217"/>
      <c r="D12" s="217"/>
      <c r="E12" s="218"/>
      <c r="F12" s="218"/>
      <c r="G12" s="220"/>
      <c r="H12" s="220"/>
      <c r="I12" s="220"/>
      <c r="J12" s="213"/>
      <c r="K12" s="124"/>
      <c r="L12" s="214"/>
      <c r="M12" s="215"/>
      <c r="N12" s="215"/>
      <c r="O12" s="215"/>
      <c r="P12" s="215"/>
      <c r="Q12" s="215"/>
      <c r="R12" s="215"/>
      <c r="S12" s="215"/>
      <c r="T12" s="133" t="s">
        <v>401</v>
      </c>
      <c r="U12" s="129"/>
      <c r="V12" s="125">
        <f>(X10-X11)*0.3</f>
        <v>0.89999999999999991</v>
      </c>
      <c r="W12" s="125" t="str">
        <f>'[1]bang gia'!$C$46</f>
        <v>đồng/cây</v>
      </c>
      <c r="X12" s="120">
        <v>1</v>
      </c>
      <c r="Y12" s="98">
        <v>4500000</v>
      </c>
      <c r="Z12" s="124"/>
      <c r="AA12" s="121">
        <v>0.3</v>
      </c>
      <c r="AB12" s="122">
        <f t="shared" si="0"/>
        <v>1350000</v>
      </c>
      <c r="AC12" s="212"/>
      <c r="AD12" s="212"/>
    </row>
    <row r="13" spans="1:255" s="123" customFormat="1" ht="25.5" customHeight="1">
      <c r="A13" s="216"/>
      <c r="B13" s="223"/>
      <c r="C13" s="217"/>
      <c r="D13" s="217"/>
      <c r="E13" s="218"/>
      <c r="F13" s="218"/>
      <c r="G13" s="220"/>
      <c r="H13" s="220"/>
      <c r="I13" s="220"/>
      <c r="J13" s="213"/>
      <c r="K13" s="124"/>
      <c r="L13" s="214"/>
      <c r="M13" s="215"/>
      <c r="N13" s="215"/>
      <c r="O13" s="215"/>
      <c r="P13" s="215"/>
      <c r="Q13" s="215"/>
      <c r="R13" s="215"/>
      <c r="S13" s="215"/>
      <c r="T13" s="133" t="s">
        <v>402</v>
      </c>
      <c r="U13" s="129"/>
      <c r="V13" s="125"/>
      <c r="W13" s="125" t="str">
        <f>'[1]bang gia'!$C$46</f>
        <v>đồng/cây</v>
      </c>
      <c r="X13" s="120">
        <f>X10-X11-X12</f>
        <v>2</v>
      </c>
      <c r="Y13" s="98">
        <v>4500000</v>
      </c>
      <c r="Z13" s="124"/>
      <c r="AA13" s="121">
        <v>0</v>
      </c>
      <c r="AB13" s="122">
        <f t="shared" si="0"/>
        <v>0</v>
      </c>
      <c r="AC13" s="212"/>
      <c r="AD13" s="212"/>
    </row>
    <row r="14" spans="1:255" s="123" customFormat="1" ht="43.5" customHeight="1">
      <c r="A14" s="216"/>
      <c r="B14" s="223"/>
      <c r="C14" s="217"/>
      <c r="D14" s="217"/>
      <c r="E14" s="218"/>
      <c r="F14" s="218"/>
      <c r="G14" s="220"/>
      <c r="H14" s="220"/>
      <c r="I14" s="220"/>
      <c r="J14" s="213"/>
      <c r="K14" s="124"/>
      <c r="L14" s="214"/>
      <c r="M14" s="215"/>
      <c r="N14" s="215"/>
      <c r="O14" s="215"/>
      <c r="P14" s="215"/>
      <c r="Q14" s="215"/>
      <c r="R14" s="215"/>
      <c r="S14" s="215"/>
      <c r="T14" s="94" t="s">
        <v>494</v>
      </c>
      <c r="U14" s="129">
        <v>20</v>
      </c>
      <c r="V14" s="125">
        <f>(G9-X9)/U14*0.3</f>
        <v>10.199999999999999</v>
      </c>
      <c r="W14" s="125" t="str">
        <f>'[1]bang gia'!$C$46</f>
        <v>đồng/cây</v>
      </c>
      <c r="X14" s="120">
        <v>10</v>
      </c>
      <c r="Y14" s="98"/>
      <c r="Z14" s="124"/>
      <c r="AA14" s="121"/>
      <c r="AB14" s="122"/>
      <c r="AC14" s="212"/>
      <c r="AD14" s="212"/>
    </row>
    <row r="15" spans="1:255" s="123" customFormat="1" ht="23.25" customHeight="1">
      <c r="A15" s="216"/>
      <c r="B15" s="223"/>
      <c r="C15" s="217"/>
      <c r="D15" s="217"/>
      <c r="E15" s="218"/>
      <c r="F15" s="218"/>
      <c r="G15" s="220"/>
      <c r="H15" s="220"/>
      <c r="I15" s="220"/>
      <c r="J15" s="213"/>
      <c r="K15" s="124"/>
      <c r="L15" s="214"/>
      <c r="M15" s="215"/>
      <c r="N15" s="215"/>
      <c r="O15" s="215"/>
      <c r="P15" s="215"/>
      <c r="Q15" s="215"/>
      <c r="R15" s="215"/>
      <c r="S15" s="215"/>
      <c r="T15" s="133" t="s">
        <v>399</v>
      </c>
      <c r="U15" s="129"/>
      <c r="V15" s="125"/>
      <c r="W15" s="125" t="str">
        <f>'[1]bang gia'!$C$46</f>
        <v>đồng/cây</v>
      </c>
      <c r="X15" s="120">
        <v>10</v>
      </c>
      <c r="Y15" s="98">
        <v>2500000</v>
      </c>
      <c r="Z15" s="124"/>
      <c r="AA15" s="121">
        <v>0.3</v>
      </c>
      <c r="AB15" s="122">
        <f t="shared" si="0"/>
        <v>7500000</v>
      </c>
      <c r="AC15" s="212"/>
      <c r="AD15" s="212"/>
    </row>
    <row r="16" spans="1:255" s="123" customFormat="1" ht="38.25" customHeight="1">
      <c r="A16" s="216"/>
      <c r="B16" s="223"/>
      <c r="C16" s="217"/>
      <c r="D16" s="217"/>
      <c r="E16" s="218"/>
      <c r="F16" s="218"/>
      <c r="G16" s="220"/>
      <c r="H16" s="220"/>
      <c r="I16" s="220"/>
      <c r="J16" s="213"/>
      <c r="K16" s="124"/>
      <c r="L16" s="214"/>
      <c r="M16" s="215"/>
      <c r="N16" s="215"/>
      <c r="O16" s="215"/>
      <c r="P16" s="215"/>
      <c r="Q16" s="215"/>
      <c r="R16" s="215"/>
      <c r="S16" s="215"/>
      <c r="T16" s="94" t="s">
        <v>650</v>
      </c>
      <c r="U16" s="129"/>
      <c r="V16" s="125"/>
      <c r="W16" s="125" t="s">
        <v>6</v>
      </c>
      <c r="X16" s="122">
        <v>250</v>
      </c>
      <c r="Y16" s="98">
        <v>30000</v>
      </c>
      <c r="Z16" s="124"/>
      <c r="AA16" s="121">
        <v>1</v>
      </c>
      <c r="AB16" s="122">
        <f t="shared" si="0"/>
        <v>7500000</v>
      </c>
      <c r="AC16" s="212"/>
      <c r="AD16" s="212"/>
    </row>
    <row r="17" spans="1:255" s="123" customFormat="1" ht="21" customHeight="1">
      <c r="A17" s="216"/>
      <c r="B17" s="223"/>
      <c r="C17" s="217"/>
      <c r="D17" s="217"/>
      <c r="E17" s="218"/>
      <c r="F17" s="218"/>
      <c r="G17" s="220"/>
      <c r="H17" s="220"/>
      <c r="I17" s="220"/>
      <c r="J17" s="213"/>
      <c r="K17" s="124"/>
      <c r="L17" s="214"/>
      <c r="M17" s="215"/>
      <c r="N17" s="215"/>
      <c r="O17" s="215"/>
      <c r="P17" s="215"/>
      <c r="Q17" s="215"/>
      <c r="R17" s="215"/>
      <c r="S17" s="215"/>
      <c r="T17" s="140" t="s">
        <v>495</v>
      </c>
      <c r="U17" s="96"/>
      <c r="V17" s="112"/>
      <c r="W17" s="96" t="s">
        <v>7</v>
      </c>
      <c r="X17" s="122"/>
      <c r="Y17" s="97"/>
      <c r="Z17" s="124"/>
      <c r="AA17" s="121">
        <v>0</v>
      </c>
      <c r="AB17" s="120">
        <v>0</v>
      </c>
      <c r="AC17" s="212"/>
      <c r="AD17" s="212"/>
    </row>
    <row r="18" spans="1:255" s="123" customFormat="1" ht="21" customHeight="1">
      <c r="A18" s="216"/>
      <c r="B18" s="223"/>
      <c r="C18" s="217"/>
      <c r="D18" s="217"/>
      <c r="E18" s="218"/>
      <c r="F18" s="218"/>
      <c r="G18" s="220"/>
      <c r="H18" s="220"/>
      <c r="I18" s="220"/>
      <c r="J18" s="213"/>
      <c r="K18" s="124"/>
      <c r="L18" s="214"/>
      <c r="M18" s="215"/>
      <c r="N18" s="215"/>
      <c r="O18" s="215"/>
      <c r="P18" s="215"/>
      <c r="Q18" s="215"/>
      <c r="R18" s="215"/>
      <c r="S18" s="215"/>
      <c r="T18" s="126" t="s">
        <v>428</v>
      </c>
      <c r="U18" s="112"/>
      <c r="V18" s="112"/>
      <c r="W18" s="112" t="s">
        <v>395</v>
      </c>
      <c r="X18" s="122">
        <v>1</v>
      </c>
      <c r="Y18" s="120"/>
      <c r="Z18" s="124"/>
      <c r="AA18" s="121">
        <v>0</v>
      </c>
      <c r="AB18" s="122">
        <f t="shared" ref="AB18:AB23" si="1">X18*Y18*AA18</f>
        <v>0</v>
      </c>
      <c r="AC18" s="212"/>
      <c r="AD18" s="212"/>
    </row>
    <row r="19" spans="1:255" s="123" customFormat="1" ht="44.25" customHeight="1">
      <c r="A19" s="216"/>
      <c r="B19" s="223"/>
      <c r="C19" s="217">
        <v>64</v>
      </c>
      <c r="D19" s="217">
        <v>513</v>
      </c>
      <c r="E19" s="218">
        <v>269.3</v>
      </c>
      <c r="F19" s="218" t="s">
        <v>26</v>
      </c>
      <c r="G19" s="220">
        <v>270</v>
      </c>
      <c r="H19" s="220">
        <f>E19-G19</f>
        <v>-0.69999999999998863</v>
      </c>
      <c r="I19" s="220">
        <v>270</v>
      </c>
      <c r="J19" s="213"/>
      <c r="K19" s="124"/>
      <c r="L19" s="214"/>
      <c r="M19" s="215"/>
      <c r="N19" s="215"/>
      <c r="O19" s="215"/>
      <c r="P19" s="215"/>
      <c r="Q19" s="215"/>
      <c r="R19" s="215"/>
      <c r="S19" s="215"/>
      <c r="T19" s="126" t="s">
        <v>496</v>
      </c>
      <c r="U19" s="129">
        <v>25</v>
      </c>
      <c r="V19" s="125">
        <f>G19/25</f>
        <v>10.8</v>
      </c>
      <c r="W19" s="125" t="str">
        <f>'[1]bang gia'!$C$46</f>
        <v>đồng/cây</v>
      </c>
      <c r="X19" s="120">
        <v>14</v>
      </c>
      <c r="Y19" s="98"/>
      <c r="Z19" s="124"/>
      <c r="AA19" s="121"/>
      <c r="AB19" s="122"/>
      <c r="AC19" s="212">
        <f>SUM(AB19:AB25)</f>
        <v>60750000</v>
      </c>
      <c r="AD19" s="212"/>
      <c r="AE19" s="239" t="s">
        <v>497</v>
      </c>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30"/>
      <c r="DS19" s="130"/>
      <c r="DT19" s="130"/>
      <c r="DU19" s="130"/>
      <c r="DV19" s="130"/>
      <c r="DW19" s="130"/>
      <c r="DX19" s="130"/>
      <c r="DY19" s="130"/>
      <c r="DZ19" s="130"/>
      <c r="EA19" s="130"/>
      <c r="EB19" s="130"/>
      <c r="EC19" s="130"/>
      <c r="ED19" s="130"/>
      <c r="EE19" s="130"/>
      <c r="EF19" s="130"/>
      <c r="EG19" s="130"/>
      <c r="EH19" s="130"/>
      <c r="EI19" s="130"/>
      <c r="EJ19" s="130"/>
      <c r="EK19" s="130"/>
      <c r="EL19" s="130"/>
      <c r="EM19" s="130"/>
      <c r="EN19" s="130"/>
      <c r="EO19" s="130"/>
      <c r="EP19" s="130"/>
      <c r="EQ19" s="130"/>
      <c r="ER19" s="130"/>
      <c r="ES19" s="130"/>
      <c r="ET19" s="130"/>
      <c r="EU19" s="130"/>
      <c r="EV19" s="130"/>
      <c r="EW19" s="130"/>
      <c r="EX19" s="130"/>
      <c r="EY19" s="130"/>
      <c r="EZ19" s="130"/>
      <c r="FA19" s="130"/>
      <c r="FB19" s="130"/>
      <c r="FC19" s="130"/>
      <c r="FD19" s="130"/>
      <c r="FE19" s="130"/>
      <c r="FF19" s="130"/>
      <c r="FG19" s="130"/>
      <c r="FH19" s="130"/>
      <c r="FI19" s="130"/>
      <c r="FJ19" s="130"/>
      <c r="FK19" s="130"/>
      <c r="FL19" s="130"/>
      <c r="FM19" s="130"/>
      <c r="FN19" s="130"/>
      <c r="FO19" s="130"/>
      <c r="FP19" s="130"/>
      <c r="FQ19" s="130"/>
      <c r="FR19" s="130"/>
      <c r="FS19" s="130"/>
      <c r="FT19" s="130"/>
      <c r="FU19" s="130"/>
      <c r="FV19" s="130"/>
      <c r="FW19" s="130"/>
      <c r="FX19" s="130"/>
      <c r="FY19" s="130"/>
      <c r="FZ19" s="130"/>
      <c r="GA19" s="130"/>
      <c r="GB19" s="130"/>
      <c r="GC19" s="130"/>
      <c r="GD19" s="130"/>
      <c r="GE19" s="130"/>
      <c r="GF19" s="130"/>
      <c r="GG19" s="130"/>
      <c r="GH19" s="130"/>
      <c r="GI19" s="130"/>
      <c r="GJ19" s="130"/>
      <c r="GK19" s="130"/>
      <c r="GL19" s="130"/>
      <c r="GM19" s="130"/>
      <c r="GN19" s="130"/>
      <c r="GO19" s="130"/>
      <c r="GP19" s="130"/>
      <c r="GQ19" s="130"/>
      <c r="GR19" s="130"/>
      <c r="GS19" s="130"/>
      <c r="GT19" s="130"/>
      <c r="GU19" s="130"/>
      <c r="GV19" s="130"/>
      <c r="GW19" s="130"/>
      <c r="GX19" s="130"/>
      <c r="GY19" s="130"/>
      <c r="GZ19" s="130"/>
      <c r="HA19" s="130"/>
      <c r="HB19" s="130"/>
      <c r="HC19" s="130"/>
      <c r="HD19" s="130"/>
      <c r="HE19" s="130"/>
      <c r="HF19" s="130"/>
      <c r="HG19" s="130"/>
      <c r="HH19" s="130"/>
      <c r="HI19" s="130"/>
      <c r="HJ19" s="130"/>
      <c r="HK19" s="130"/>
      <c r="HL19" s="130"/>
      <c r="HM19" s="130"/>
      <c r="HN19" s="130"/>
      <c r="HO19" s="130"/>
      <c r="HP19" s="130"/>
      <c r="HQ19" s="130"/>
      <c r="HR19" s="130"/>
      <c r="HS19" s="130"/>
      <c r="HT19" s="130"/>
      <c r="HU19" s="130"/>
      <c r="HV19" s="130"/>
      <c r="HW19" s="130"/>
      <c r="HX19" s="130"/>
      <c r="HY19" s="130"/>
      <c r="HZ19" s="130"/>
      <c r="IA19" s="130"/>
      <c r="IB19" s="130"/>
      <c r="IC19" s="130"/>
      <c r="ID19" s="130"/>
      <c r="IE19" s="130"/>
      <c r="IF19" s="130"/>
      <c r="IG19" s="130"/>
      <c r="IH19" s="130"/>
      <c r="II19" s="130"/>
      <c r="IJ19" s="130"/>
      <c r="IK19" s="130"/>
      <c r="IL19" s="130"/>
      <c r="IM19" s="130"/>
      <c r="IN19" s="130"/>
      <c r="IO19" s="130"/>
      <c r="IP19" s="130"/>
      <c r="IQ19" s="130"/>
      <c r="IR19" s="130"/>
      <c r="IS19" s="130"/>
      <c r="IT19" s="130"/>
      <c r="IU19" s="130"/>
    </row>
    <row r="20" spans="1:255" s="123" customFormat="1" ht="21" customHeight="1">
      <c r="A20" s="216"/>
      <c r="B20" s="223"/>
      <c r="C20" s="217"/>
      <c r="D20" s="217"/>
      <c r="E20" s="218"/>
      <c r="F20" s="218"/>
      <c r="G20" s="220"/>
      <c r="H20" s="220"/>
      <c r="I20" s="220"/>
      <c r="J20" s="213"/>
      <c r="K20" s="124"/>
      <c r="L20" s="214"/>
      <c r="M20" s="215"/>
      <c r="N20" s="215"/>
      <c r="O20" s="215"/>
      <c r="P20" s="215"/>
      <c r="Q20" s="215"/>
      <c r="R20" s="215"/>
      <c r="S20" s="215"/>
      <c r="T20" s="133" t="s">
        <v>399</v>
      </c>
      <c r="U20" s="129"/>
      <c r="V20" s="125"/>
      <c r="W20" s="125" t="str">
        <f>'[1]bang gia'!$C$46</f>
        <v>đồng/cây</v>
      </c>
      <c r="X20" s="120">
        <v>11</v>
      </c>
      <c r="Y20" s="98">
        <v>4500000</v>
      </c>
      <c r="Z20" s="124"/>
      <c r="AA20" s="121">
        <v>1</v>
      </c>
      <c r="AB20" s="122">
        <f t="shared" si="1"/>
        <v>49500000</v>
      </c>
      <c r="AC20" s="212"/>
      <c r="AD20" s="212"/>
      <c r="AE20" s="24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c r="CG20" s="130"/>
      <c r="CH20" s="130"/>
      <c r="CI20" s="130"/>
      <c r="CJ20" s="130"/>
      <c r="CK20" s="130"/>
      <c r="CL20" s="130"/>
      <c r="CM20" s="130"/>
      <c r="CN20" s="130"/>
      <c r="CO20" s="130"/>
      <c r="CP20" s="130"/>
      <c r="CQ20" s="130"/>
      <c r="CR20" s="130"/>
      <c r="CS20" s="130"/>
      <c r="CT20" s="130"/>
      <c r="CU20" s="130"/>
      <c r="CV20" s="130"/>
      <c r="CW20" s="130"/>
      <c r="CX20" s="130"/>
      <c r="CY20" s="130"/>
      <c r="CZ20" s="130"/>
      <c r="DA20" s="130"/>
      <c r="DB20" s="130"/>
      <c r="DC20" s="130"/>
      <c r="DD20" s="130"/>
      <c r="DE20" s="130"/>
      <c r="DF20" s="130"/>
      <c r="DG20" s="130"/>
      <c r="DH20" s="130"/>
      <c r="DI20" s="130"/>
      <c r="DJ20" s="130"/>
      <c r="DK20" s="130"/>
      <c r="DL20" s="130"/>
      <c r="DM20" s="130"/>
      <c r="DN20" s="130"/>
      <c r="DO20" s="130"/>
      <c r="DP20" s="130"/>
      <c r="DQ20" s="130"/>
      <c r="DR20" s="130"/>
      <c r="DS20" s="130"/>
      <c r="DT20" s="130"/>
      <c r="DU20" s="130"/>
      <c r="DV20" s="130"/>
      <c r="DW20" s="130"/>
      <c r="DX20" s="130"/>
      <c r="DY20" s="130"/>
      <c r="DZ20" s="130"/>
      <c r="EA20" s="130"/>
      <c r="EB20" s="130"/>
      <c r="EC20" s="130"/>
      <c r="ED20" s="130"/>
      <c r="EE20" s="130"/>
      <c r="EF20" s="130"/>
      <c r="EG20" s="130"/>
      <c r="EH20" s="130"/>
      <c r="EI20" s="130"/>
      <c r="EJ20" s="130"/>
      <c r="EK20" s="130"/>
      <c r="EL20" s="130"/>
      <c r="EM20" s="130"/>
      <c r="EN20" s="130"/>
      <c r="EO20" s="130"/>
      <c r="EP20" s="130"/>
      <c r="EQ20" s="130"/>
      <c r="ER20" s="130"/>
      <c r="ES20" s="130"/>
      <c r="ET20" s="130"/>
      <c r="EU20" s="130"/>
      <c r="EV20" s="130"/>
      <c r="EW20" s="130"/>
      <c r="EX20" s="130"/>
      <c r="EY20" s="130"/>
      <c r="EZ20" s="130"/>
      <c r="FA20" s="130"/>
      <c r="FB20" s="130"/>
      <c r="FC20" s="130"/>
      <c r="FD20" s="130"/>
      <c r="FE20" s="130"/>
      <c r="FF20" s="130"/>
      <c r="FG20" s="130"/>
      <c r="FH20" s="130"/>
      <c r="FI20" s="130"/>
      <c r="FJ20" s="130"/>
      <c r="FK20" s="130"/>
      <c r="FL20" s="130"/>
      <c r="FM20" s="130"/>
      <c r="FN20" s="130"/>
      <c r="FO20" s="130"/>
      <c r="FP20" s="130"/>
      <c r="FQ20" s="130"/>
      <c r="FR20" s="130"/>
      <c r="FS20" s="130"/>
      <c r="FT20" s="130"/>
      <c r="FU20" s="130"/>
      <c r="FV20" s="130"/>
      <c r="FW20" s="130"/>
      <c r="FX20" s="130"/>
      <c r="FY20" s="130"/>
      <c r="FZ20" s="130"/>
      <c r="GA20" s="130"/>
      <c r="GB20" s="130"/>
      <c r="GC20" s="130"/>
      <c r="GD20" s="130"/>
      <c r="GE20" s="130"/>
      <c r="GF20" s="130"/>
      <c r="GG20" s="130"/>
      <c r="GH20" s="130"/>
      <c r="GI20" s="130"/>
      <c r="GJ20" s="130"/>
      <c r="GK20" s="130"/>
      <c r="GL20" s="130"/>
      <c r="GM20" s="130"/>
      <c r="GN20" s="130"/>
      <c r="GO20" s="130"/>
      <c r="GP20" s="130"/>
      <c r="GQ20" s="130"/>
      <c r="GR20" s="130"/>
      <c r="GS20" s="130"/>
      <c r="GT20" s="130"/>
      <c r="GU20" s="130"/>
      <c r="GV20" s="130"/>
      <c r="GW20" s="130"/>
      <c r="GX20" s="130"/>
      <c r="GY20" s="130"/>
      <c r="GZ20" s="130"/>
      <c r="HA20" s="130"/>
      <c r="HB20" s="130"/>
      <c r="HC20" s="130"/>
      <c r="HD20" s="130"/>
      <c r="HE20" s="130"/>
      <c r="HF20" s="130"/>
      <c r="HG20" s="130"/>
      <c r="HH20" s="130"/>
      <c r="HI20" s="130"/>
      <c r="HJ20" s="130"/>
      <c r="HK20" s="130"/>
      <c r="HL20" s="130"/>
      <c r="HM20" s="130"/>
      <c r="HN20" s="130"/>
      <c r="HO20" s="130"/>
      <c r="HP20" s="130"/>
      <c r="HQ20" s="130"/>
      <c r="HR20" s="130"/>
      <c r="HS20" s="130"/>
      <c r="HT20" s="130"/>
      <c r="HU20" s="130"/>
      <c r="HV20" s="130"/>
      <c r="HW20" s="130"/>
      <c r="HX20" s="130"/>
      <c r="HY20" s="130"/>
      <c r="HZ20" s="130"/>
      <c r="IA20" s="130"/>
      <c r="IB20" s="130"/>
      <c r="IC20" s="130"/>
      <c r="ID20" s="130"/>
      <c r="IE20" s="130"/>
      <c r="IF20" s="130"/>
      <c r="IG20" s="130"/>
      <c r="IH20" s="130"/>
      <c r="II20" s="130"/>
      <c r="IJ20" s="130"/>
      <c r="IK20" s="130"/>
      <c r="IL20" s="130"/>
      <c r="IM20" s="130"/>
      <c r="IN20" s="130"/>
      <c r="IO20" s="130"/>
      <c r="IP20" s="130"/>
      <c r="IQ20" s="130"/>
      <c r="IR20" s="130"/>
      <c r="IS20" s="130"/>
      <c r="IT20" s="130"/>
      <c r="IU20" s="130"/>
    </row>
    <row r="21" spans="1:255" s="123" customFormat="1" ht="21" customHeight="1">
      <c r="A21" s="216"/>
      <c r="B21" s="223"/>
      <c r="C21" s="217"/>
      <c r="D21" s="217"/>
      <c r="E21" s="218"/>
      <c r="F21" s="218"/>
      <c r="G21" s="220"/>
      <c r="H21" s="220"/>
      <c r="I21" s="220"/>
      <c r="J21" s="213"/>
      <c r="K21" s="124"/>
      <c r="L21" s="214"/>
      <c r="M21" s="215"/>
      <c r="N21" s="215"/>
      <c r="O21" s="215"/>
      <c r="P21" s="215"/>
      <c r="Q21" s="215"/>
      <c r="R21" s="215"/>
      <c r="S21" s="215"/>
      <c r="T21" s="133" t="s">
        <v>401</v>
      </c>
      <c r="U21" s="129"/>
      <c r="V21" s="125">
        <f>V19*0.3</f>
        <v>3.24</v>
      </c>
      <c r="W21" s="125" t="str">
        <f>'[1]bang gia'!$C$46</f>
        <v>đồng/cây</v>
      </c>
      <c r="X21" s="120">
        <v>3</v>
      </c>
      <c r="Y21" s="98">
        <v>4500000</v>
      </c>
      <c r="Z21" s="124"/>
      <c r="AA21" s="121">
        <v>0.5</v>
      </c>
      <c r="AB21" s="122">
        <f t="shared" si="1"/>
        <v>6750000</v>
      </c>
      <c r="AC21" s="212"/>
      <c r="AD21" s="212"/>
      <c r="AE21" s="24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0"/>
      <c r="CI21" s="130"/>
      <c r="CJ21" s="130"/>
      <c r="CK21" s="130"/>
      <c r="CL21" s="130"/>
      <c r="CM21" s="130"/>
      <c r="CN21" s="130"/>
      <c r="CO21" s="130"/>
      <c r="CP21" s="130"/>
      <c r="CQ21" s="130"/>
      <c r="CR21" s="130"/>
      <c r="CS21" s="130"/>
      <c r="CT21" s="130"/>
      <c r="CU21" s="130"/>
      <c r="CV21" s="130"/>
      <c r="CW21" s="130"/>
      <c r="CX21" s="130"/>
      <c r="CY21" s="130"/>
      <c r="CZ21" s="130"/>
      <c r="DA21" s="130"/>
      <c r="DB21" s="130"/>
      <c r="DC21" s="130"/>
      <c r="DD21" s="130"/>
      <c r="DE21" s="130"/>
      <c r="DF21" s="130"/>
      <c r="DG21" s="130"/>
      <c r="DH21" s="130"/>
      <c r="DI21" s="130"/>
      <c r="DJ21" s="130"/>
      <c r="DK21" s="130"/>
      <c r="DL21" s="130"/>
      <c r="DM21" s="130"/>
      <c r="DN21" s="130"/>
      <c r="DO21" s="130"/>
      <c r="DP21" s="130"/>
      <c r="DQ21" s="130"/>
      <c r="DR21" s="130"/>
      <c r="DS21" s="130"/>
      <c r="DT21" s="130"/>
      <c r="DU21" s="130"/>
      <c r="DV21" s="130"/>
      <c r="DW21" s="130"/>
      <c r="DX21" s="130"/>
      <c r="DY21" s="130"/>
      <c r="DZ21" s="130"/>
      <c r="EA21" s="130"/>
      <c r="EB21" s="130"/>
      <c r="EC21" s="130"/>
      <c r="ED21" s="130"/>
      <c r="EE21" s="130"/>
      <c r="EF21" s="130"/>
      <c r="EG21" s="130"/>
      <c r="EH21" s="130"/>
      <c r="EI21" s="130"/>
      <c r="EJ21" s="130"/>
      <c r="EK21" s="130"/>
      <c r="EL21" s="130"/>
      <c r="EM21" s="130"/>
      <c r="EN21" s="130"/>
      <c r="EO21" s="130"/>
      <c r="EP21" s="130"/>
      <c r="EQ21" s="130"/>
      <c r="ER21" s="130"/>
      <c r="ES21" s="130"/>
      <c r="ET21" s="130"/>
      <c r="EU21" s="130"/>
      <c r="EV21" s="130"/>
      <c r="EW21" s="130"/>
      <c r="EX21" s="130"/>
      <c r="EY21" s="130"/>
      <c r="EZ21" s="130"/>
      <c r="FA21" s="130"/>
      <c r="FB21" s="130"/>
      <c r="FC21" s="130"/>
      <c r="FD21" s="130"/>
      <c r="FE21" s="130"/>
      <c r="FF21" s="130"/>
      <c r="FG21" s="130"/>
      <c r="FH21" s="130"/>
      <c r="FI21" s="130"/>
      <c r="FJ21" s="130"/>
      <c r="FK21" s="130"/>
      <c r="FL21" s="130"/>
      <c r="FM21" s="130"/>
      <c r="FN21" s="130"/>
      <c r="FO21" s="130"/>
      <c r="FP21" s="130"/>
      <c r="FQ21" s="130"/>
      <c r="FR21" s="130"/>
      <c r="FS21" s="130"/>
      <c r="FT21" s="130"/>
      <c r="FU21" s="130"/>
      <c r="FV21" s="130"/>
      <c r="FW21" s="130"/>
      <c r="FX21" s="130"/>
      <c r="FY21" s="130"/>
      <c r="FZ21" s="130"/>
      <c r="GA21" s="130"/>
      <c r="GB21" s="130"/>
      <c r="GC21" s="130"/>
      <c r="GD21" s="130"/>
      <c r="GE21" s="130"/>
      <c r="GF21" s="130"/>
      <c r="GG21" s="130"/>
      <c r="GH21" s="130"/>
      <c r="GI21" s="130"/>
      <c r="GJ21" s="130"/>
      <c r="GK21" s="130"/>
      <c r="GL21" s="130"/>
      <c r="GM21" s="130"/>
      <c r="GN21" s="130"/>
      <c r="GO21" s="130"/>
      <c r="GP21" s="130"/>
      <c r="GQ21" s="130"/>
      <c r="GR21" s="130"/>
      <c r="GS21" s="130"/>
      <c r="GT21" s="130"/>
      <c r="GU21" s="130"/>
      <c r="GV21" s="130"/>
      <c r="GW21" s="130"/>
      <c r="GX21" s="130"/>
      <c r="GY21" s="130"/>
      <c r="GZ21" s="130"/>
      <c r="HA21" s="130"/>
      <c r="HB21" s="130"/>
      <c r="HC21" s="130"/>
      <c r="HD21" s="130"/>
      <c r="HE21" s="130"/>
      <c r="HF21" s="130"/>
      <c r="HG21" s="130"/>
      <c r="HH21" s="130"/>
      <c r="HI21" s="130"/>
      <c r="HJ21" s="130"/>
      <c r="HK21" s="130"/>
      <c r="HL21" s="130"/>
      <c r="HM21" s="130"/>
      <c r="HN21" s="130"/>
      <c r="HO21" s="130"/>
      <c r="HP21" s="130"/>
      <c r="HQ21" s="130"/>
      <c r="HR21" s="130"/>
      <c r="HS21" s="130"/>
      <c r="HT21" s="130"/>
      <c r="HU21" s="130"/>
      <c r="HV21" s="130"/>
      <c r="HW21" s="130"/>
      <c r="HX21" s="130"/>
      <c r="HY21" s="130"/>
      <c r="HZ21" s="130"/>
      <c r="IA21" s="130"/>
      <c r="IB21" s="130"/>
      <c r="IC21" s="130"/>
      <c r="ID21" s="130"/>
      <c r="IE21" s="130"/>
      <c r="IF21" s="130"/>
      <c r="IG21" s="130"/>
      <c r="IH21" s="130"/>
      <c r="II21" s="130"/>
      <c r="IJ21" s="130"/>
      <c r="IK21" s="130"/>
      <c r="IL21" s="130"/>
      <c r="IM21" s="130"/>
      <c r="IN21" s="130"/>
      <c r="IO21" s="130"/>
      <c r="IP21" s="130"/>
      <c r="IQ21" s="130"/>
      <c r="IR21" s="130"/>
      <c r="IS21" s="130"/>
      <c r="IT21" s="130"/>
      <c r="IU21" s="130"/>
    </row>
    <row r="22" spans="1:255" s="123" customFormat="1" ht="21" customHeight="1">
      <c r="A22" s="216"/>
      <c r="B22" s="223"/>
      <c r="C22" s="217"/>
      <c r="D22" s="217"/>
      <c r="E22" s="218"/>
      <c r="F22" s="218"/>
      <c r="G22" s="220"/>
      <c r="H22" s="220"/>
      <c r="I22" s="220"/>
      <c r="J22" s="213"/>
      <c r="K22" s="124"/>
      <c r="L22" s="214"/>
      <c r="M22" s="215"/>
      <c r="N22" s="215"/>
      <c r="O22" s="215"/>
      <c r="P22" s="215"/>
      <c r="Q22" s="215"/>
      <c r="R22" s="215"/>
      <c r="S22" s="215"/>
      <c r="T22" s="94" t="s">
        <v>498</v>
      </c>
      <c r="U22" s="129"/>
      <c r="V22" s="125"/>
      <c r="W22" s="125" t="s">
        <v>6</v>
      </c>
      <c r="X22" s="122">
        <v>150</v>
      </c>
      <c r="Y22" s="98">
        <v>30000</v>
      </c>
      <c r="Z22" s="124"/>
      <c r="AA22" s="121">
        <v>1</v>
      </c>
      <c r="AB22" s="122">
        <f t="shared" si="1"/>
        <v>4500000</v>
      </c>
      <c r="AC22" s="212"/>
      <c r="AD22" s="212"/>
    </row>
    <row r="23" spans="1:255" s="123" customFormat="1" ht="21" customHeight="1">
      <c r="A23" s="216"/>
      <c r="B23" s="223"/>
      <c r="C23" s="217"/>
      <c r="D23" s="217"/>
      <c r="E23" s="218"/>
      <c r="F23" s="218"/>
      <c r="G23" s="220"/>
      <c r="H23" s="220"/>
      <c r="I23" s="220"/>
      <c r="J23" s="213"/>
      <c r="K23" s="124"/>
      <c r="L23" s="214"/>
      <c r="M23" s="215"/>
      <c r="N23" s="215"/>
      <c r="O23" s="215"/>
      <c r="P23" s="215"/>
      <c r="Q23" s="215"/>
      <c r="R23" s="215"/>
      <c r="S23" s="215"/>
      <c r="T23" s="94" t="s">
        <v>499</v>
      </c>
      <c r="U23" s="129"/>
      <c r="V23" s="125"/>
      <c r="W23" s="125" t="s">
        <v>6</v>
      </c>
      <c r="X23" s="120"/>
      <c r="Y23" s="97"/>
      <c r="Z23" s="124"/>
      <c r="AA23" s="121">
        <v>0</v>
      </c>
      <c r="AB23" s="122">
        <f t="shared" si="1"/>
        <v>0</v>
      </c>
      <c r="AC23" s="212"/>
      <c r="AD23" s="212"/>
    </row>
    <row r="24" spans="1:255" s="123" customFormat="1" ht="21" customHeight="1">
      <c r="A24" s="216"/>
      <c r="B24" s="223"/>
      <c r="C24" s="217"/>
      <c r="D24" s="217"/>
      <c r="E24" s="218"/>
      <c r="F24" s="218"/>
      <c r="G24" s="220"/>
      <c r="H24" s="220"/>
      <c r="I24" s="220"/>
      <c r="J24" s="213"/>
      <c r="K24" s="124"/>
      <c r="L24" s="214"/>
      <c r="M24" s="215"/>
      <c r="N24" s="215"/>
      <c r="O24" s="215"/>
      <c r="P24" s="215"/>
      <c r="Q24" s="215"/>
      <c r="R24" s="215"/>
      <c r="S24" s="215"/>
      <c r="T24" s="126" t="s">
        <v>500</v>
      </c>
      <c r="U24" s="112"/>
      <c r="V24" s="125"/>
      <c r="W24" s="125" t="s">
        <v>501</v>
      </c>
      <c r="X24" s="134"/>
      <c r="Y24" s="120"/>
      <c r="Z24" s="124"/>
      <c r="AA24" s="121">
        <v>0</v>
      </c>
      <c r="AB24" s="120">
        <v>0</v>
      </c>
      <c r="AC24" s="212"/>
      <c r="AD24" s="212"/>
    </row>
    <row r="25" spans="1:255" s="123" customFormat="1" ht="42.75" customHeight="1">
      <c r="A25" s="216"/>
      <c r="B25" s="223"/>
      <c r="C25" s="217"/>
      <c r="D25" s="217"/>
      <c r="E25" s="218"/>
      <c r="F25" s="218"/>
      <c r="G25" s="220"/>
      <c r="H25" s="220"/>
      <c r="I25" s="220"/>
      <c r="J25" s="213"/>
      <c r="K25" s="124"/>
      <c r="L25" s="214"/>
      <c r="M25" s="215"/>
      <c r="N25" s="215"/>
      <c r="O25" s="215"/>
      <c r="P25" s="215"/>
      <c r="Q25" s="215"/>
      <c r="R25" s="215"/>
      <c r="S25" s="215"/>
      <c r="T25" s="140" t="s">
        <v>502</v>
      </c>
      <c r="U25" s="96"/>
      <c r="V25" s="125"/>
      <c r="W25" s="125" t="s">
        <v>6</v>
      </c>
      <c r="X25" s="120"/>
      <c r="Y25" s="97"/>
      <c r="Z25" s="124"/>
      <c r="AA25" s="121">
        <v>0</v>
      </c>
      <c r="AB25" s="122">
        <f>X25*Y25*AA25</f>
        <v>0</v>
      </c>
      <c r="AC25" s="212"/>
      <c r="AD25" s="212"/>
    </row>
    <row r="26" spans="1:255" s="123" customFormat="1" ht="42" customHeight="1">
      <c r="A26" s="216">
        <v>2</v>
      </c>
      <c r="B26" s="217" t="s">
        <v>503</v>
      </c>
      <c r="C26" s="217">
        <v>64</v>
      </c>
      <c r="D26" s="217">
        <v>514</v>
      </c>
      <c r="E26" s="218">
        <v>328.1</v>
      </c>
      <c r="F26" s="218" t="s">
        <v>26</v>
      </c>
      <c r="G26" s="220">
        <v>306</v>
      </c>
      <c r="H26" s="220">
        <f>E26-G26</f>
        <v>22.100000000000023</v>
      </c>
      <c r="I26" s="220">
        <v>306</v>
      </c>
      <c r="J26" s="220">
        <v>306</v>
      </c>
      <c r="K26" s="124"/>
      <c r="L26" s="214">
        <f>I26/J26*100</f>
        <v>100</v>
      </c>
      <c r="M26" s="215">
        <f>IF(L26&lt;10,2,IF(L26&lt;20,3,IF(L26&lt;30,5,IF(L26&gt;=70,12,IF(L26&gt;=30,6)))))</f>
        <v>12</v>
      </c>
      <c r="N26" s="215">
        <v>3</v>
      </c>
      <c r="O26" s="215">
        <f>$O$6</f>
        <v>80000</v>
      </c>
      <c r="P26" s="215">
        <f>I26*O26</f>
        <v>24480000</v>
      </c>
      <c r="Q26" s="215">
        <f>$Q$6*I26</f>
        <v>73440000</v>
      </c>
      <c r="R26" s="215">
        <f>M26*N26*$R$6</f>
        <v>18360000</v>
      </c>
      <c r="S26" s="215">
        <f>R26+Q26+P26</f>
        <v>116280000</v>
      </c>
      <c r="T26" s="94" t="s">
        <v>504</v>
      </c>
      <c r="U26" s="129">
        <v>25</v>
      </c>
      <c r="V26" s="125">
        <f>G26/U26</f>
        <v>12.24</v>
      </c>
      <c r="W26" s="125" t="str">
        <f>'[1]bang gia'!$C$46</f>
        <v>đồng/cây</v>
      </c>
      <c r="X26" s="120">
        <v>12</v>
      </c>
      <c r="Y26" s="98"/>
      <c r="Z26" s="124"/>
      <c r="AA26" s="121"/>
      <c r="AB26" s="122"/>
      <c r="AC26" s="212">
        <f>SUM(AB26:AB35)</f>
        <v>54200000</v>
      </c>
      <c r="AD26" s="212">
        <f>AC26+S26</f>
        <v>170480000</v>
      </c>
      <c r="AE26" s="239" t="s">
        <v>505</v>
      </c>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c r="BP26" s="130"/>
      <c r="BQ26" s="130"/>
      <c r="BR26" s="130"/>
      <c r="BS26" s="130"/>
      <c r="BT26" s="130"/>
      <c r="BU26" s="130"/>
      <c r="BV26" s="130"/>
      <c r="BW26" s="130"/>
      <c r="BX26" s="130"/>
      <c r="BY26" s="130"/>
      <c r="BZ26" s="130"/>
      <c r="CA26" s="130"/>
      <c r="CB26" s="130"/>
      <c r="CC26" s="130"/>
      <c r="CD26" s="130"/>
      <c r="CE26" s="130"/>
      <c r="CF26" s="130"/>
      <c r="CG26" s="130"/>
      <c r="CH26" s="130"/>
      <c r="CI26" s="130"/>
      <c r="CJ26" s="130"/>
      <c r="CK26" s="130"/>
      <c r="CL26" s="130"/>
      <c r="CM26" s="130"/>
      <c r="CN26" s="130"/>
      <c r="CO26" s="130"/>
      <c r="CP26" s="130"/>
      <c r="CQ26" s="130"/>
      <c r="CR26" s="130"/>
      <c r="CS26" s="130"/>
      <c r="CT26" s="130"/>
      <c r="CU26" s="130"/>
      <c r="CV26" s="130"/>
      <c r="CW26" s="130"/>
      <c r="CX26" s="130"/>
      <c r="CY26" s="130"/>
      <c r="CZ26" s="130"/>
      <c r="DA26" s="130"/>
      <c r="DB26" s="130"/>
      <c r="DC26" s="130"/>
      <c r="DD26" s="130"/>
      <c r="DE26" s="130"/>
      <c r="DF26" s="130"/>
      <c r="DG26" s="130"/>
      <c r="DH26" s="130"/>
      <c r="DI26" s="130"/>
      <c r="DJ26" s="130"/>
      <c r="DK26" s="130"/>
      <c r="DL26" s="130"/>
      <c r="DM26" s="130"/>
      <c r="DN26" s="130"/>
      <c r="DO26" s="130"/>
      <c r="DP26" s="130"/>
      <c r="DQ26" s="130"/>
      <c r="DR26" s="130"/>
      <c r="DS26" s="130"/>
      <c r="DT26" s="130"/>
      <c r="DU26" s="130"/>
      <c r="DV26" s="130"/>
      <c r="DW26" s="130"/>
      <c r="DX26" s="130"/>
      <c r="DY26" s="130"/>
      <c r="DZ26" s="130"/>
      <c r="EA26" s="130"/>
      <c r="EB26" s="130"/>
      <c r="EC26" s="130"/>
      <c r="ED26" s="130"/>
      <c r="EE26" s="130"/>
      <c r="EF26" s="130"/>
      <c r="EG26" s="130"/>
      <c r="EH26" s="130"/>
      <c r="EI26" s="130"/>
      <c r="EJ26" s="130"/>
      <c r="EK26" s="130"/>
      <c r="EL26" s="130"/>
      <c r="EM26" s="130"/>
      <c r="EN26" s="130"/>
      <c r="EO26" s="130"/>
      <c r="EP26" s="130"/>
      <c r="EQ26" s="130"/>
      <c r="ER26" s="130"/>
      <c r="ES26" s="130"/>
      <c r="ET26" s="130"/>
      <c r="EU26" s="130"/>
      <c r="EV26" s="130"/>
      <c r="EW26" s="130"/>
      <c r="EX26" s="130"/>
      <c r="EY26" s="130"/>
      <c r="EZ26" s="130"/>
      <c r="FA26" s="130"/>
      <c r="FB26" s="130"/>
      <c r="FC26" s="130"/>
      <c r="FD26" s="130"/>
      <c r="FE26" s="130"/>
      <c r="FF26" s="130"/>
      <c r="FG26" s="130"/>
      <c r="FH26" s="130"/>
      <c r="FI26" s="130"/>
      <c r="FJ26" s="130"/>
      <c r="FK26" s="130"/>
      <c r="FL26" s="130"/>
      <c r="FM26" s="130"/>
      <c r="FN26" s="130"/>
      <c r="FO26" s="130"/>
      <c r="FP26" s="130"/>
      <c r="FQ26" s="130"/>
      <c r="FR26" s="130"/>
      <c r="FS26" s="130"/>
      <c r="FT26" s="130"/>
      <c r="FU26" s="130"/>
      <c r="FV26" s="130"/>
      <c r="FW26" s="130"/>
      <c r="FX26" s="130"/>
      <c r="FY26" s="130"/>
      <c r="FZ26" s="130"/>
      <c r="GA26" s="130"/>
      <c r="GB26" s="130"/>
      <c r="GC26" s="130"/>
      <c r="GD26" s="130"/>
      <c r="GE26" s="130"/>
      <c r="GF26" s="130"/>
      <c r="GG26" s="130"/>
      <c r="GH26" s="130"/>
      <c r="GI26" s="130"/>
      <c r="GJ26" s="130"/>
      <c r="GK26" s="130"/>
      <c r="GL26" s="130"/>
      <c r="GM26" s="130"/>
      <c r="GN26" s="130"/>
      <c r="GO26" s="130"/>
      <c r="GP26" s="130"/>
      <c r="GQ26" s="130"/>
      <c r="GR26" s="130"/>
      <c r="GS26" s="130"/>
      <c r="GT26" s="130"/>
      <c r="GU26" s="130"/>
      <c r="GV26" s="130"/>
      <c r="GW26" s="130"/>
      <c r="GX26" s="130"/>
      <c r="GY26" s="130"/>
      <c r="GZ26" s="130"/>
      <c r="HA26" s="130"/>
      <c r="HB26" s="130"/>
      <c r="HC26" s="130"/>
      <c r="HD26" s="130"/>
      <c r="HE26" s="130"/>
      <c r="HF26" s="130"/>
      <c r="HG26" s="130"/>
      <c r="HH26" s="130"/>
      <c r="HI26" s="130"/>
      <c r="HJ26" s="130"/>
      <c r="HK26" s="130"/>
      <c r="HL26" s="130"/>
      <c r="HM26" s="130"/>
      <c r="HN26" s="130"/>
      <c r="HO26" s="130"/>
      <c r="HP26" s="130"/>
      <c r="HQ26" s="130"/>
      <c r="HR26" s="130"/>
      <c r="HS26" s="130"/>
      <c r="HT26" s="130"/>
      <c r="HU26" s="130"/>
      <c r="HV26" s="130"/>
      <c r="HW26" s="130"/>
      <c r="HX26" s="130"/>
      <c r="HY26" s="130"/>
      <c r="HZ26" s="130"/>
      <c r="IA26" s="130"/>
      <c r="IB26" s="130"/>
      <c r="IC26" s="130"/>
      <c r="ID26" s="130"/>
      <c r="IE26" s="130"/>
      <c r="IF26" s="130"/>
      <c r="IG26" s="130"/>
      <c r="IH26" s="130"/>
      <c r="II26" s="130"/>
      <c r="IJ26" s="130"/>
      <c r="IK26" s="130"/>
      <c r="IL26" s="130"/>
      <c r="IM26" s="130"/>
      <c r="IN26" s="130"/>
      <c r="IO26" s="130"/>
      <c r="IP26" s="130"/>
      <c r="IQ26" s="130"/>
      <c r="IR26" s="130"/>
      <c r="IS26" s="130"/>
      <c r="IT26" s="130"/>
      <c r="IU26" s="130"/>
    </row>
    <row r="27" spans="1:255" s="123" customFormat="1" ht="27" customHeight="1">
      <c r="A27" s="216"/>
      <c r="B27" s="217"/>
      <c r="C27" s="217"/>
      <c r="D27" s="217"/>
      <c r="E27" s="218"/>
      <c r="F27" s="218"/>
      <c r="G27" s="220"/>
      <c r="H27" s="220"/>
      <c r="I27" s="220"/>
      <c r="J27" s="220"/>
      <c r="K27" s="124"/>
      <c r="L27" s="214"/>
      <c r="M27" s="215"/>
      <c r="N27" s="215"/>
      <c r="O27" s="215"/>
      <c r="P27" s="215"/>
      <c r="Q27" s="215"/>
      <c r="R27" s="215"/>
      <c r="S27" s="215"/>
      <c r="T27" s="133" t="s">
        <v>399</v>
      </c>
      <c r="U27" s="129"/>
      <c r="V27" s="125"/>
      <c r="W27" s="125" t="str">
        <f>'[1]bang gia'!$C$46</f>
        <v>đồng/cây</v>
      </c>
      <c r="X27" s="120">
        <v>12</v>
      </c>
      <c r="Y27" s="98">
        <v>3750000</v>
      </c>
      <c r="Z27" s="124"/>
      <c r="AA27" s="121">
        <v>1</v>
      </c>
      <c r="AB27" s="122">
        <f>X27*Y27*AA27</f>
        <v>45000000</v>
      </c>
      <c r="AC27" s="212"/>
      <c r="AD27" s="212"/>
      <c r="AE27" s="240"/>
    </row>
    <row r="28" spans="1:255" s="123" customFormat="1" ht="45" customHeight="1">
      <c r="A28" s="216"/>
      <c r="B28" s="217"/>
      <c r="C28" s="217"/>
      <c r="D28" s="217"/>
      <c r="E28" s="218"/>
      <c r="F28" s="218"/>
      <c r="G28" s="220"/>
      <c r="H28" s="220"/>
      <c r="I28" s="220"/>
      <c r="J28" s="220"/>
      <c r="K28" s="124"/>
      <c r="L28" s="214"/>
      <c r="M28" s="215"/>
      <c r="N28" s="215"/>
      <c r="O28" s="215"/>
      <c r="P28" s="215"/>
      <c r="Q28" s="215"/>
      <c r="R28" s="215"/>
      <c r="S28" s="215"/>
      <c r="T28" s="94" t="s">
        <v>506</v>
      </c>
      <c r="U28" s="129">
        <v>20</v>
      </c>
      <c r="V28" s="125">
        <f>G26/U28</f>
        <v>15.3</v>
      </c>
      <c r="W28" s="125" t="str">
        <f>'[1]bang gia'!$C$46</f>
        <v>đồng/cây</v>
      </c>
      <c r="X28" s="120">
        <v>15</v>
      </c>
      <c r="Y28" s="98"/>
      <c r="Z28" s="124"/>
      <c r="AA28" s="121"/>
      <c r="AB28" s="122"/>
      <c r="AC28" s="212"/>
      <c r="AD28" s="212"/>
      <c r="AE28" s="240"/>
    </row>
    <row r="29" spans="1:255" s="123" customFormat="1" ht="27" customHeight="1">
      <c r="A29" s="216"/>
      <c r="B29" s="217"/>
      <c r="C29" s="217"/>
      <c r="D29" s="217"/>
      <c r="E29" s="218"/>
      <c r="F29" s="218"/>
      <c r="G29" s="220"/>
      <c r="H29" s="220"/>
      <c r="I29" s="220"/>
      <c r="J29" s="220"/>
      <c r="K29" s="124"/>
      <c r="L29" s="214"/>
      <c r="M29" s="215"/>
      <c r="N29" s="215"/>
      <c r="O29" s="215"/>
      <c r="P29" s="215"/>
      <c r="Q29" s="215"/>
      <c r="R29" s="215"/>
      <c r="S29" s="215"/>
      <c r="T29" s="133" t="s">
        <v>399</v>
      </c>
      <c r="U29" s="129"/>
      <c r="V29" s="125"/>
      <c r="W29" s="125" t="str">
        <f>'[1]bang gia'!$C$46</f>
        <v>đồng/cây</v>
      </c>
      <c r="X29" s="120">
        <v>15</v>
      </c>
      <c r="Y29" s="98">
        <v>1800000</v>
      </c>
      <c r="Z29" s="124"/>
      <c r="AA29" s="128">
        <v>0.3</v>
      </c>
      <c r="AB29" s="122">
        <f>X29*Y29*AA29</f>
        <v>8100000</v>
      </c>
      <c r="AC29" s="212"/>
      <c r="AD29" s="212"/>
    </row>
    <row r="30" spans="1:255" s="123" customFormat="1" ht="44.25" customHeight="1">
      <c r="A30" s="216"/>
      <c r="B30" s="217"/>
      <c r="C30" s="217"/>
      <c r="D30" s="217"/>
      <c r="E30" s="218"/>
      <c r="F30" s="218"/>
      <c r="G30" s="220"/>
      <c r="H30" s="220"/>
      <c r="I30" s="220"/>
      <c r="J30" s="220"/>
      <c r="K30" s="124"/>
      <c r="L30" s="214"/>
      <c r="M30" s="215"/>
      <c r="N30" s="215"/>
      <c r="O30" s="215"/>
      <c r="P30" s="215"/>
      <c r="Q30" s="215"/>
      <c r="R30" s="215"/>
      <c r="S30" s="215"/>
      <c r="T30" s="94" t="s">
        <v>507</v>
      </c>
      <c r="U30" s="129">
        <v>4.5</v>
      </c>
      <c r="V30" s="125">
        <f>G26/U30</f>
        <v>68</v>
      </c>
      <c r="W30" s="129" t="s">
        <v>2</v>
      </c>
      <c r="X30" s="120">
        <v>5</v>
      </c>
      <c r="Y30" s="98"/>
      <c r="Z30" s="124"/>
      <c r="AA30" s="121"/>
      <c r="AB30" s="120"/>
      <c r="AC30" s="212"/>
      <c r="AD30" s="212"/>
    </row>
    <row r="31" spans="1:255" s="123" customFormat="1" ht="23.25" customHeight="1">
      <c r="A31" s="216"/>
      <c r="B31" s="217"/>
      <c r="C31" s="217"/>
      <c r="D31" s="217"/>
      <c r="E31" s="218"/>
      <c r="F31" s="218"/>
      <c r="G31" s="220"/>
      <c r="H31" s="220"/>
      <c r="I31" s="220"/>
      <c r="J31" s="220"/>
      <c r="K31" s="124"/>
      <c r="L31" s="214"/>
      <c r="M31" s="215"/>
      <c r="N31" s="215"/>
      <c r="O31" s="215"/>
      <c r="P31" s="215"/>
      <c r="Q31" s="215"/>
      <c r="R31" s="215"/>
      <c r="S31" s="215"/>
      <c r="T31" s="133" t="s">
        <v>417</v>
      </c>
      <c r="U31" s="129"/>
      <c r="V31" s="125"/>
      <c r="W31" s="129" t="s">
        <v>2</v>
      </c>
      <c r="X31" s="120">
        <v>5</v>
      </c>
      <c r="Y31" s="98">
        <v>100000</v>
      </c>
      <c r="Z31" s="124"/>
      <c r="AA31" s="128">
        <v>0</v>
      </c>
      <c r="AB31" s="122">
        <f t="shared" ref="AB31:AB36" si="2">X31*Y31*AA31</f>
        <v>0</v>
      </c>
      <c r="AC31" s="212"/>
      <c r="AD31" s="212"/>
    </row>
    <row r="32" spans="1:255" s="123" customFormat="1" ht="21" customHeight="1">
      <c r="A32" s="216"/>
      <c r="B32" s="217"/>
      <c r="C32" s="217"/>
      <c r="D32" s="217"/>
      <c r="E32" s="218"/>
      <c r="F32" s="218"/>
      <c r="G32" s="220"/>
      <c r="H32" s="220"/>
      <c r="I32" s="220"/>
      <c r="J32" s="220"/>
      <c r="K32" s="124"/>
      <c r="L32" s="214"/>
      <c r="M32" s="215"/>
      <c r="N32" s="215"/>
      <c r="O32" s="215"/>
      <c r="P32" s="215"/>
      <c r="Q32" s="215"/>
      <c r="R32" s="215"/>
      <c r="S32" s="215"/>
      <c r="T32" s="94" t="s">
        <v>508</v>
      </c>
      <c r="U32" s="129"/>
      <c r="V32" s="125"/>
      <c r="W32" s="125" t="str">
        <f>'[1]bang gia'!$C$40</f>
        <v>đồng/m²</v>
      </c>
      <c r="X32" s="120">
        <v>100</v>
      </c>
      <c r="Y32" s="98">
        <v>11000</v>
      </c>
      <c r="Z32" s="124"/>
      <c r="AA32" s="121">
        <v>1</v>
      </c>
      <c r="AB32" s="122">
        <f t="shared" si="2"/>
        <v>1100000</v>
      </c>
      <c r="AC32" s="212"/>
      <c r="AD32" s="212"/>
    </row>
    <row r="33" spans="1:255" s="123" customFormat="1" ht="21" customHeight="1">
      <c r="A33" s="216"/>
      <c r="B33" s="217"/>
      <c r="C33" s="217"/>
      <c r="D33" s="217"/>
      <c r="E33" s="218"/>
      <c r="F33" s="218"/>
      <c r="G33" s="220"/>
      <c r="H33" s="220"/>
      <c r="I33" s="220"/>
      <c r="J33" s="220"/>
      <c r="K33" s="124"/>
      <c r="L33" s="214"/>
      <c r="M33" s="215"/>
      <c r="N33" s="215"/>
      <c r="O33" s="215"/>
      <c r="P33" s="215"/>
      <c r="Q33" s="215"/>
      <c r="R33" s="215"/>
      <c r="S33" s="215"/>
      <c r="T33" s="126" t="s">
        <v>509</v>
      </c>
      <c r="U33" s="112"/>
      <c r="V33" s="125"/>
      <c r="W33" s="125" t="s">
        <v>6</v>
      </c>
      <c r="X33" s="120" t="s">
        <v>510</v>
      </c>
      <c r="Y33" s="120"/>
      <c r="Z33" s="124"/>
      <c r="AA33" s="121">
        <v>0</v>
      </c>
      <c r="AB33" s="120">
        <v>0</v>
      </c>
      <c r="AC33" s="212"/>
      <c r="AD33" s="212"/>
    </row>
    <row r="34" spans="1:255" s="123" customFormat="1" ht="21" customHeight="1">
      <c r="A34" s="216"/>
      <c r="B34" s="217"/>
      <c r="C34" s="217"/>
      <c r="D34" s="217"/>
      <c r="E34" s="218"/>
      <c r="F34" s="218"/>
      <c r="G34" s="220"/>
      <c r="H34" s="220"/>
      <c r="I34" s="220"/>
      <c r="J34" s="220"/>
      <c r="K34" s="124"/>
      <c r="L34" s="214"/>
      <c r="M34" s="215"/>
      <c r="N34" s="215"/>
      <c r="O34" s="215"/>
      <c r="P34" s="215"/>
      <c r="Q34" s="215"/>
      <c r="R34" s="215"/>
      <c r="S34" s="215"/>
      <c r="T34" s="126" t="s">
        <v>511</v>
      </c>
      <c r="U34" s="112"/>
      <c r="V34" s="125"/>
      <c r="W34" s="125" t="s">
        <v>501</v>
      </c>
      <c r="X34" s="134">
        <v>0.46</v>
      </c>
      <c r="Y34" s="120"/>
      <c r="Z34" s="124"/>
      <c r="AA34" s="121">
        <v>0</v>
      </c>
      <c r="AB34" s="120">
        <v>0</v>
      </c>
      <c r="AC34" s="212"/>
      <c r="AD34" s="212"/>
    </row>
    <row r="35" spans="1:255" s="123" customFormat="1" ht="21" customHeight="1">
      <c r="A35" s="216"/>
      <c r="B35" s="217"/>
      <c r="C35" s="217"/>
      <c r="D35" s="217"/>
      <c r="E35" s="218"/>
      <c r="F35" s="218"/>
      <c r="G35" s="220"/>
      <c r="H35" s="220"/>
      <c r="I35" s="220"/>
      <c r="J35" s="220"/>
      <c r="K35" s="124"/>
      <c r="L35" s="214"/>
      <c r="M35" s="215"/>
      <c r="N35" s="215"/>
      <c r="O35" s="215"/>
      <c r="P35" s="215"/>
      <c r="Q35" s="215"/>
      <c r="R35" s="215"/>
      <c r="S35" s="215"/>
      <c r="T35" s="126" t="s">
        <v>416</v>
      </c>
      <c r="U35" s="112"/>
      <c r="V35" s="112"/>
      <c r="W35" s="112" t="s">
        <v>395</v>
      </c>
      <c r="X35" s="122">
        <v>1</v>
      </c>
      <c r="Y35" s="120"/>
      <c r="Z35" s="124"/>
      <c r="AA35" s="121">
        <v>0</v>
      </c>
      <c r="AB35" s="122">
        <f t="shared" si="2"/>
        <v>0</v>
      </c>
      <c r="AC35" s="212"/>
      <c r="AD35" s="212"/>
    </row>
    <row r="36" spans="1:255" s="123" customFormat="1" ht="38.25" customHeight="1">
      <c r="A36" s="216">
        <v>3</v>
      </c>
      <c r="B36" s="238" t="s">
        <v>512</v>
      </c>
      <c r="C36" s="217">
        <v>64</v>
      </c>
      <c r="D36" s="217">
        <v>800</v>
      </c>
      <c r="E36" s="218">
        <v>359.8</v>
      </c>
      <c r="F36" s="218" t="s">
        <v>393</v>
      </c>
      <c r="G36" s="220">
        <v>360</v>
      </c>
      <c r="H36" s="220">
        <f>E36-G36</f>
        <v>-0.19999999999998863</v>
      </c>
      <c r="I36" s="220">
        <v>360</v>
      </c>
      <c r="J36" s="220">
        <v>360</v>
      </c>
      <c r="K36" s="124"/>
      <c r="L36" s="214">
        <f>I36/J36*100</f>
        <v>100</v>
      </c>
      <c r="M36" s="215">
        <f>IF(L36&lt;10,2,IF(L36&lt;20,3,IF(L36&lt;30,5,IF(L36&gt;=70,12,IF(L36&gt;=30,6)))))</f>
        <v>12</v>
      </c>
      <c r="N36" s="215">
        <v>4</v>
      </c>
      <c r="O36" s="215">
        <f>$O$6</f>
        <v>80000</v>
      </c>
      <c r="P36" s="215">
        <f>I36*O36</f>
        <v>28800000</v>
      </c>
      <c r="Q36" s="215">
        <f>$Q$6*I36</f>
        <v>86400000</v>
      </c>
      <c r="R36" s="215">
        <f>M36*N36*$R$6</f>
        <v>24480000</v>
      </c>
      <c r="S36" s="215">
        <f>R36+Q36+P36</f>
        <v>139680000</v>
      </c>
      <c r="T36" s="117" t="s">
        <v>491</v>
      </c>
      <c r="U36" s="112"/>
      <c r="V36" s="125"/>
      <c r="W36" s="118" t="s">
        <v>0</v>
      </c>
      <c r="X36" s="120">
        <v>180</v>
      </c>
      <c r="Y36" s="120">
        <v>97000</v>
      </c>
      <c r="Z36" s="124"/>
      <c r="AA36" s="121">
        <v>1</v>
      </c>
      <c r="AB36" s="122">
        <f t="shared" si="2"/>
        <v>17460000</v>
      </c>
      <c r="AC36" s="212">
        <f>SUM(AB36:AB45)</f>
        <v>51150000</v>
      </c>
      <c r="AD36" s="212">
        <f>AC36+S36</f>
        <v>190830000</v>
      </c>
      <c r="AE36" s="239" t="s">
        <v>492</v>
      </c>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c r="DT36" s="130"/>
      <c r="DU36" s="130"/>
      <c r="DV36" s="130"/>
      <c r="DW36" s="130"/>
      <c r="DX36" s="130"/>
      <c r="DY36" s="130"/>
      <c r="DZ36" s="130"/>
      <c r="EA36" s="130"/>
      <c r="EB36" s="130"/>
      <c r="EC36" s="130"/>
      <c r="ED36" s="130"/>
      <c r="EE36" s="130"/>
      <c r="EF36" s="130"/>
      <c r="EG36" s="130"/>
      <c r="EH36" s="130"/>
      <c r="EI36" s="130"/>
      <c r="EJ36" s="130"/>
      <c r="EK36" s="130"/>
      <c r="EL36" s="130"/>
      <c r="EM36" s="130"/>
      <c r="EN36" s="130"/>
      <c r="EO36" s="130"/>
      <c r="EP36" s="130"/>
      <c r="EQ36" s="130"/>
      <c r="ER36" s="130"/>
      <c r="ES36" s="130"/>
      <c r="ET36" s="130"/>
      <c r="EU36" s="130"/>
      <c r="EV36" s="130"/>
      <c r="EW36" s="130"/>
      <c r="EX36" s="130"/>
      <c r="EY36" s="130"/>
      <c r="EZ36" s="130"/>
      <c r="FA36" s="130"/>
      <c r="FB36" s="130"/>
      <c r="FC36" s="130"/>
      <c r="FD36" s="130"/>
      <c r="FE36" s="130"/>
      <c r="FF36" s="130"/>
      <c r="FG36" s="130"/>
      <c r="FH36" s="130"/>
      <c r="FI36" s="130"/>
      <c r="FJ36" s="130"/>
      <c r="FK36" s="130"/>
      <c r="FL36" s="130"/>
      <c r="FM36" s="130"/>
      <c r="FN36" s="130"/>
      <c r="FO36" s="130"/>
      <c r="FP36" s="130"/>
      <c r="FQ36" s="130"/>
      <c r="FR36" s="130"/>
      <c r="FS36" s="130"/>
      <c r="FT36" s="130"/>
      <c r="FU36" s="130"/>
      <c r="FV36" s="130"/>
      <c r="FW36" s="130"/>
      <c r="FX36" s="130"/>
      <c r="FY36" s="130"/>
      <c r="FZ36" s="130"/>
      <c r="GA36" s="130"/>
      <c r="GB36" s="130"/>
      <c r="GC36" s="130"/>
      <c r="GD36" s="130"/>
      <c r="GE36" s="130"/>
      <c r="GF36" s="130"/>
      <c r="GG36" s="130"/>
      <c r="GH36" s="130"/>
      <c r="GI36" s="130"/>
      <c r="GJ36" s="130"/>
      <c r="GK36" s="130"/>
      <c r="GL36" s="130"/>
      <c r="GM36" s="130"/>
      <c r="GN36" s="130"/>
      <c r="GO36" s="130"/>
      <c r="GP36" s="130"/>
      <c r="GQ36" s="130"/>
      <c r="GR36" s="130"/>
      <c r="GS36" s="130"/>
      <c r="GT36" s="130"/>
      <c r="GU36" s="130"/>
      <c r="GV36" s="130"/>
      <c r="GW36" s="130"/>
      <c r="GX36" s="130"/>
      <c r="GY36" s="130"/>
      <c r="GZ36" s="130"/>
      <c r="HA36" s="130"/>
      <c r="HB36" s="130"/>
      <c r="HC36" s="130"/>
      <c r="HD36" s="130"/>
      <c r="HE36" s="130"/>
      <c r="HF36" s="130"/>
      <c r="HG36" s="130"/>
      <c r="HH36" s="130"/>
      <c r="HI36" s="130"/>
      <c r="HJ36" s="130"/>
      <c r="HK36" s="130"/>
      <c r="HL36" s="130"/>
      <c r="HM36" s="130"/>
      <c r="HN36" s="130"/>
      <c r="HO36" s="130"/>
      <c r="HP36" s="130"/>
      <c r="HQ36" s="130"/>
      <c r="HR36" s="130"/>
      <c r="HS36" s="130"/>
      <c r="HT36" s="130"/>
      <c r="HU36" s="130"/>
      <c r="HV36" s="130"/>
      <c r="HW36" s="130"/>
      <c r="HX36" s="130"/>
      <c r="HY36" s="130"/>
      <c r="HZ36" s="130"/>
      <c r="IA36" s="130"/>
      <c r="IB36" s="130"/>
      <c r="IC36" s="130"/>
      <c r="ID36" s="130"/>
      <c r="IE36" s="130"/>
      <c r="IF36" s="130"/>
      <c r="IG36" s="130"/>
      <c r="IH36" s="130"/>
      <c r="II36" s="130"/>
      <c r="IJ36" s="130"/>
      <c r="IK36" s="130"/>
      <c r="IL36" s="130"/>
      <c r="IM36" s="130"/>
      <c r="IN36" s="130"/>
      <c r="IO36" s="130"/>
      <c r="IP36" s="130"/>
      <c r="IQ36" s="130"/>
      <c r="IR36" s="130"/>
      <c r="IS36" s="130"/>
      <c r="IT36" s="130"/>
      <c r="IU36" s="130"/>
    </row>
    <row r="37" spans="1:255" s="123" customFormat="1" ht="37.5" customHeight="1">
      <c r="A37" s="216"/>
      <c r="B37" s="217"/>
      <c r="C37" s="217"/>
      <c r="D37" s="217"/>
      <c r="E37" s="218"/>
      <c r="F37" s="218"/>
      <c r="G37" s="220"/>
      <c r="H37" s="220"/>
      <c r="I37" s="220"/>
      <c r="J37" s="220"/>
      <c r="K37" s="124"/>
      <c r="L37" s="214"/>
      <c r="M37" s="215"/>
      <c r="N37" s="215"/>
      <c r="O37" s="215"/>
      <c r="P37" s="215"/>
      <c r="Q37" s="215"/>
      <c r="R37" s="215"/>
      <c r="S37" s="215"/>
      <c r="T37" s="94" t="s">
        <v>493</v>
      </c>
      <c r="U37" s="129">
        <v>25</v>
      </c>
      <c r="V37" s="125">
        <f>(G36-X36)/25</f>
        <v>7.2</v>
      </c>
      <c r="W37" s="125" t="str">
        <f>'[1]bang gia'!$C$46</f>
        <v>đồng/cây</v>
      </c>
      <c r="X37" s="120">
        <v>9</v>
      </c>
      <c r="Y37" s="98"/>
      <c r="Z37" s="124"/>
      <c r="AA37" s="121"/>
      <c r="AB37" s="122"/>
      <c r="AC37" s="212"/>
      <c r="AD37" s="212"/>
      <c r="AE37" s="240"/>
    </row>
    <row r="38" spans="1:255" s="123" customFormat="1" ht="21" customHeight="1">
      <c r="A38" s="216"/>
      <c r="B38" s="217"/>
      <c r="C38" s="217"/>
      <c r="D38" s="217"/>
      <c r="E38" s="218"/>
      <c r="F38" s="218"/>
      <c r="G38" s="220"/>
      <c r="H38" s="220"/>
      <c r="I38" s="220"/>
      <c r="J38" s="220"/>
      <c r="K38" s="124"/>
      <c r="L38" s="214"/>
      <c r="M38" s="215"/>
      <c r="N38" s="215"/>
      <c r="O38" s="215"/>
      <c r="P38" s="215"/>
      <c r="Q38" s="215"/>
      <c r="R38" s="215"/>
      <c r="S38" s="215"/>
      <c r="T38" s="133" t="s">
        <v>399</v>
      </c>
      <c r="U38" s="129"/>
      <c r="V38" s="125"/>
      <c r="W38" s="125" t="str">
        <f>'[1]bang gia'!$C$46</f>
        <v>đồng/cây</v>
      </c>
      <c r="X38" s="120">
        <v>7</v>
      </c>
      <c r="Y38" s="98">
        <v>4500000</v>
      </c>
      <c r="Z38" s="124"/>
      <c r="AA38" s="121">
        <v>1</v>
      </c>
      <c r="AB38" s="122">
        <f>X38*Y38*AA38</f>
        <v>31500000</v>
      </c>
      <c r="AC38" s="212"/>
      <c r="AD38" s="212"/>
      <c r="AE38" s="240"/>
    </row>
    <row r="39" spans="1:255" s="123" customFormat="1" ht="21" customHeight="1">
      <c r="A39" s="216"/>
      <c r="B39" s="217"/>
      <c r="C39" s="217"/>
      <c r="D39" s="217"/>
      <c r="E39" s="218"/>
      <c r="F39" s="218"/>
      <c r="G39" s="220"/>
      <c r="H39" s="220"/>
      <c r="I39" s="220"/>
      <c r="J39" s="220"/>
      <c r="K39" s="124"/>
      <c r="L39" s="214"/>
      <c r="M39" s="215"/>
      <c r="N39" s="215"/>
      <c r="O39" s="215"/>
      <c r="P39" s="215"/>
      <c r="Q39" s="215"/>
      <c r="R39" s="215"/>
      <c r="S39" s="215"/>
      <c r="T39" s="133" t="s">
        <v>401</v>
      </c>
      <c r="U39" s="129"/>
      <c r="V39" s="125">
        <f>0.3*(9-7)</f>
        <v>0.6</v>
      </c>
      <c r="W39" s="125" t="str">
        <f>'[1]bang gia'!$C$46</f>
        <v>đồng/cây</v>
      </c>
      <c r="X39" s="120">
        <v>1</v>
      </c>
      <c r="Y39" s="98">
        <v>4500000</v>
      </c>
      <c r="Z39" s="124"/>
      <c r="AA39" s="121">
        <v>0.3</v>
      </c>
      <c r="AB39" s="122">
        <f>X39*Y39*AA39</f>
        <v>1350000</v>
      </c>
      <c r="AC39" s="212"/>
      <c r="AD39" s="212"/>
      <c r="AE39" s="149"/>
    </row>
    <row r="40" spans="1:255" s="123" customFormat="1" ht="21" customHeight="1">
      <c r="A40" s="216"/>
      <c r="B40" s="217"/>
      <c r="C40" s="217"/>
      <c r="D40" s="217"/>
      <c r="E40" s="218"/>
      <c r="F40" s="218"/>
      <c r="G40" s="220"/>
      <c r="H40" s="220"/>
      <c r="I40" s="220"/>
      <c r="J40" s="220"/>
      <c r="K40" s="124"/>
      <c r="L40" s="214"/>
      <c r="M40" s="215"/>
      <c r="N40" s="215"/>
      <c r="O40" s="215"/>
      <c r="P40" s="215"/>
      <c r="Q40" s="215"/>
      <c r="R40" s="215"/>
      <c r="S40" s="215"/>
      <c r="T40" s="133" t="s">
        <v>402</v>
      </c>
      <c r="U40" s="129"/>
      <c r="V40" s="125"/>
      <c r="W40" s="125" t="str">
        <f>'[1]bang gia'!$C$46</f>
        <v>đồng/cây</v>
      </c>
      <c r="X40" s="120">
        <v>1</v>
      </c>
      <c r="Y40" s="98">
        <v>4500000</v>
      </c>
      <c r="Z40" s="124"/>
      <c r="AA40" s="121">
        <v>0</v>
      </c>
      <c r="AB40" s="122">
        <f>X40*Y40*AA40</f>
        <v>0</v>
      </c>
      <c r="AC40" s="212"/>
      <c r="AD40" s="212"/>
    </row>
    <row r="41" spans="1:255" s="123" customFormat="1" ht="37.5" customHeight="1">
      <c r="A41" s="216"/>
      <c r="B41" s="217"/>
      <c r="C41" s="217"/>
      <c r="D41" s="217"/>
      <c r="E41" s="218"/>
      <c r="F41" s="218"/>
      <c r="G41" s="220"/>
      <c r="H41" s="220"/>
      <c r="I41" s="220"/>
      <c r="J41" s="220"/>
      <c r="K41" s="124"/>
      <c r="L41" s="214"/>
      <c r="M41" s="215"/>
      <c r="N41" s="215"/>
      <c r="O41" s="215"/>
      <c r="P41" s="215"/>
      <c r="Q41" s="215"/>
      <c r="R41" s="215"/>
      <c r="S41" s="215"/>
      <c r="T41" s="94" t="s">
        <v>513</v>
      </c>
      <c r="U41" s="129">
        <v>3.85</v>
      </c>
      <c r="V41" s="127">
        <f>180/U41*0.3</f>
        <v>14.025974025974024</v>
      </c>
      <c r="W41" s="125" t="str">
        <f>'[1]bang gia'!$C$46</f>
        <v>đồng/cây</v>
      </c>
      <c r="X41" s="120">
        <v>20</v>
      </c>
      <c r="Y41" s="98"/>
      <c r="Z41" s="124"/>
      <c r="AA41" s="121"/>
      <c r="AB41" s="122"/>
      <c r="AC41" s="212"/>
      <c r="AD41" s="212"/>
    </row>
    <row r="42" spans="1:255" s="123" customFormat="1" ht="21" customHeight="1">
      <c r="A42" s="216"/>
      <c r="B42" s="217"/>
      <c r="C42" s="217"/>
      <c r="D42" s="217"/>
      <c r="E42" s="218"/>
      <c r="F42" s="218"/>
      <c r="G42" s="220"/>
      <c r="H42" s="220"/>
      <c r="I42" s="220"/>
      <c r="J42" s="220"/>
      <c r="K42" s="124"/>
      <c r="L42" s="214"/>
      <c r="M42" s="215"/>
      <c r="N42" s="215"/>
      <c r="O42" s="215"/>
      <c r="P42" s="215"/>
      <c r="Q42" s="215"/>
      <c r="R42" s="215"/>
      <c r="S42" s="215"/>
      <c r="T42" s="133" t="s">
        <v>401</v>
      </c>
      <c r="U42" s="129"/>
      <c r="V42" s="127"/>
      <c r="W42" s="125" t="str">
        <f>'[1]bang gia'!$C$46</f>
        <v>đồng/cây</v>
      </c>
      <c r="X42" s="120">
        <v>14</v>
      </c>
      <c r="Y42" s="98">
        <v>200000</v>
      </c>
      <c r="Z42" s="124"/>
      <c r="AA42" s="121">
        <v>0.3</v>
      </c>
      <c r="AB42" s="122">
        <f>X42*Y42*AA42</f>
        <v>840000</v>
      </c>
      <c r="AC42" s="212"/>
      <c r="AD42" s="212"/>
    </row>
    <row r="43" spans="1:255" s="123" customFormat="1" ht="21" customHeight="1">
      <c r="A43" s="216"/>
      <c r="B43" s="217"/>
      <c r="C43" s="217"/>
      <c r="D43" s="217"/>
      <c r="E43" s="218"/>
      <c r="F43" s="218"/>
      <c r="G43" s="220"/>
      <c r="H43" s="220"/>
      <c r="I43" s="220"/>
      <c r="J43" s="220"/>
      <c r="K43" s="124"/>
      <c r="L43" s="214"/>
      <c r="M43" s="215"/>
      <c r="N43" s="215"/>
      <c r="O43" s="215"/>
      <c r="P43" s="215"/>
      <c r="Q43" s="215"/>
      <c r="R43" s="215"/>
      <c r="S43" s="215"/>
      <c r="T43" s="133" t="s">
        <v>402</v>
      </c>
      <c r="U43" s="129"/>
      <c r="V43" s="127"/>
      <c r="W43" s="125" t="str">
        <f>'[1]bang gia'!$C$46</f>
        <v>đồng/cây</v>
      </c>
      <c r="X43" s="120">
        <f>X41-X42</f>
        <v>6</v>
      </c>
      <c r="Y43" s="98">
        <v>200000</v>
      </c>
      <c r="Z43" s="124"/>
      <c r="AA43" s="121">
        <v>0</v>
      </c>
      <c r="AB43" s="122">
        <f>X43*Y43*AA43</f>
        <v>0</v>
      </c>
      <c r="AC43" s="212"/>
      <c r="AD43" s="212"/>
    </row>
    <row r="44" spans="1:255" s="123" customFormat="1" ht="21" customHeight="1">
      <c r="A44" s="216"/>
      <c r="B44" s="217"/>
      <c r="C44" s="217"/>
      <c r="D44" s="217"/>
      <c r="E44" s="218"/>
      <c r="F44" s="218"/>
      <c r="G44" s="220"/>
      <c r="H44" s="220"/>
      <c r="I44" s="220"/>
      <c r="J44" s="220"/>
      <c r="K44" s="124"/>
      <c r="L44" s="214"/>
      <c r="M44" s="215"/>
      <c r="N44" s="215"/>
      <c r="O44" s="215"/>
      <c r="P44" s="215"/>
      <c r="Q44" s="215"/>
      <c r="R44" s="215"/>
      <c r="S44" s="215"/>
      <c r="T44" s="94" t="s">
        <v>514</v>
      </c>
      <c r="U44" s="129"/>
      <c r="V44" s="125"/>
      <c r="W44" s="125" t="str">
        <f>'[1]bang gia'!$C$46</f>
        <v>đồng/cây</v>
      </c>
      <c r="X44" s="120">
        <v>7</v>
      </c>
      <c r="Y44" s="98">
        <v>500000</v>
      </c>
      <c r="Z44" s="124"/>
      <c r="AA44" s="121">
        <v>0</v>
      </c>
      <c r="AB44" s="122">
        <f>X44*Y44*AA44</f>
        <v>0</v>
      </c>
      <c r="AC44" s="212"/>
      <c r="AD44" s="212"/>
    </row>
    <row r="45" spans="1:255" s="123" customFormat="1" ht="21" customHeight="1">
      <c r="A45" s="216"/>
      <c r="B45" s="217"/>
      <c r="C45" s="217"/>
      <c r="D45" s="217"/>
      <c r="E45" s="218"/>
      <c r="F45" s="218"/>
      <c r="G45" s="220"/>
      <c r="H45" s="220"/>
      <c r="I45" s="220"/>
      <c r="J45" s="220"/>
      <c r="K45" s="124"/>
      <c r="L45" s="214"/>
      <c r="M45" s="215"/>
      <c r="N45" s="215"/>
      <c r="O45" s="215"/>
      <c r="P45" s="215"/>
      <c r="Q45" s="215"/>
      <c r="R45" s="215"/>
      <c r="S45" s="215"/>
      <c r="T45" s="140" t="s">
        <v>515</v>
      </c>
      <c r="U45" s="96"/>
      <c r="V45" s="112"/>
      <c r="W45" s="96" t="s">
        <v>7</v>
      </c>
      <c r="X45" s="122"/>
      <c r="Y45" s="97"/>
      <c r="Z45" s="124"/>
      <c r="AA45" s="121">
        <v>0</v>
      </c>
      <c r="AB45" s="120">
        <v>0</v>
      </c>
      <c r="AC45" s="212"/>
      <c r="AD45" s="212"/>
    </row>
    <row r="46" spans="1:255" s="123" customFormat="1" ht="39" customHeight="1">
      <c r="A46" s="216">
        <v>4</v>
      </c>
      <c r="B46" s="238" t="s">
        <v>516</v>
      </c>
      <c r="C46" s="217">
        <v>64</v>
      </c>
      <c r="D46" s="217">
        <v>801</v>
      </c>
      <c r="E46" s="218">
        <v>971.9</v>
      </c>
      <c r="F46" s="218" t="s">
        <v>393</v>
      </c>
      <c r="G46" s="220">
        <v>1080</v>
      </c>
      <c r="H46" s="220">
        <f>E46-G46</f>
        <v>-108.10000000000002</v>
      </c>
      <c r="I46" s="220">
        <v>1080</v>
      </c>
      <c r="J46" s="220">
        <v>1440</v>
      </c>
      <c r="K46" s="124"/>
      <c r="L46" s="214">
        <f>(I62+I46)/J46*100</f>
        <v>100</v>
      </c>
      <c r="M46" s="215">
        <f>IF(L46&lt;10,2,IF(L46&lt;20,3,IF(L46&lt;30,5,IF(L46&gt;=70,12,IF(L46&gt;=30,6)))))</f>
        <v>12</v>
      </c>
      <c r="N46" s="215">
        <v>5</v>
      </c>
      <c r="O46" s="215">
        <f>$O$6</f>
        <v>80000</v>
      </c>
      <c r="P46" s="215">
        <f>(I62+I46)*O46</f>
        <v>115200000</v>
      </c>
      <c r="Q46" s="215">
        <f>$Q$6*(I62+I46)</f>
        <v>345600000</v>
      </c>
      <c r="R46" s="215">
        <f>M46*N46*$R$6</f>
        <v>30600000</v>
      </c>
      <c r="S46" s="215">
        <f>R46+Q46+P46</f>
        <v>491400000</v>
      </c>
      <c r="T46" s="117" t="s">
        <v>491</v>
      </c>
      <c r="U46" s="112"/>
      <c r="V46" s="125"/>
      <c r="W46" s="118" t="s">
        <v>0</v>
      </c>
      <c r="X46" s="120">
        <v>400</v>
      </c>
      <c r="Y46" s="120">
        <v>97000</v>
      </c>
      <c r="Z46" s="124"/>
      <c r="AA46" s="121">
        <v>1</v>
      </c>
      <c r="AB46" s="122">
        <f>X46*Y46*AA46</f>
        <v>38800000</v>
      </c>
      <c r="AC46" s="212">
        <f>SUM(AB46:AB61)</f>
        <v>176650000</v>
      </c>
      <c r="AD46" s="212">
        <f>AC46+AC62+S46</f>
        <v>714760000</v>
      </c>
      <c r="AE46" s="239" t="s">
        <v>492</v>
      </c>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0"/>
      <c r="BV46" s="130"/>
      <c r="BW46" s="130"/>
      <c r="BX46" s="130"/>
      <c r="BY46" s="130"/>
      <c r="BZ46" s="130"/>
      <c r="CA46" s="130"/>
      <c r="CB46" s="130"/>
      <c r="CC46" s="130"/>
      <c r="CD46" s="130"/>
      <c r="CE46" s="130"/>
      <c r="CF46" s="130"/>
      <c r="CG46" s="130"/>
      <c r="CH46" s="130"/>
      <c r="CI46" s="130"/>
      <c r="CJ46" s="130"/>
      <c r="CK46" s="130"/>
      <c r="CL46" s="130"/>
      <c r="CM46" s="130"/>
      <c r="CN46" s="130"/>
      <c r="CO46" s="130"/>
      <c r="CP46" s="130"/>
      <c r="CQ46" s="130"/>
      <c r="CR46" s="130"/>
      <c r="CS46" s="130"/>
      <c r="CT46" s="130"/>
      <c r="CU46" s="130"/>
      <c r="CV46" s="130"/>
      <c r="CW46" s="130"/>
      <c r="CX46" s="130"/>
      <c r="CY46" s="130"/>
      <c r="CZ46" s="130"/>
      <c r="DA46" s="130"/>
      <c r="DB46" s="130"/>
      <c r="DC46" s="130"/>
      <c r="DD46" s="130"/>
      <c r="DE46" s="130"/>
      <c r="DF46" s="130"/>
      <c r="DG46" s="130"/>
      <c r="DH46" s="130"/>
      <c r="DI46" s="130"/>
      <c r="DJ46" s="130"/>
      <c r="DK46" s="130"/>
      <c r="DL46" s="130"/>
      <c r="DM46" s="130"/>
      <c r="DN46" s="130"/>
      <c r="DO46" s="130"/>
      <c r="DP46" s="130"/>
      <c r="DQ46" s="130"/>
      <c r="DR46" s="130"/>
      <c r="DS46" s="130"/>
      <c r="DT46" s="130"/>
      <c r="DU46" s="130"/>
      <c r="DV46" s="130"/>
      <c r="DW46" s="130"/>
      <c r="DX46" s="130"/>
      <c r="DY46" s="130"/>
      <c r="DZ46" s="130"/>
      <c r="EA46" s="130"/>
      <c r="EB46" s="130"/>
      <c r="EC46" s="130"/>
      <c r="ED46" s="130"/>
      <c r="EE46" s="130"/>
      <c r="EF46" s="130"/>
      <c r="EG46" s="130"/>
      <c r="EH46" s="130"/>
      <c r="EI46" s="130"/>
      <c r="EJ46" s="130"/>
      <c r="EK46" s="130"/>
      <c r="EL46" s="130"/>
      <c r="EM46" s="130"/>
      <c r="EN46" s="130"/>
      <c r="EO46" s="130"/>
      <c r="EP46" s="130"/>
      <c r="EQ46" s="130"/>
      <c r="ER46" s="130"/>
      <c r="ES46" s="130"/>
      <c r="ET46" s="130"/>
      <c r="EU46" s="130"/>
      <c r="EV46" s="130"/>
      <c r="EW46" s="130"/>
      <c r="EX46" s="130"/>
      <c r="EY46" s="130"/>
      <c r="EZ46" s="130"/>
      <c r="FA46" s="130"/>
      <c r="FB46" s="130"/>
      <c r="FC46" s="130"/>
      <c r="FD46" s="130"/>
      <c r="FE46" s="130"/>
      <c r="FF46" s="130"/>
      <c r="FG46" s="130"/>
      <c r="FH46" s="130"/>
      <c r="FI46" s="130"/>
      <c r="FJ46" s="130"/>
      <c r="FK46" s="130"/>
      <c r="FL46" s="130"/>
      <c r="FM46" s="130"/>
      <c r="FN46" s="130"/>
      <c r="FO46" s="130"/>
      <c r="FP46" s="130"/>
      <c r="FQ46" s="130"/>
      <c r="FR46" s="130"/>
      <c r="FS46" s="130"/>
      <c r="FT46" s="130"/>
      <c r="FU46" s="130"/>
      <c r="FV46" s="130"/>
      <c r="FW46" s="130"/>
      <c r="FX46" s="130"/>
      <c r="FY46" s="130"/>
      <c r="FZ46" s="130"/>
      <c r="GA46" s="130"/>
      <c r="GB46" s="130"/>
      <c r="GC46" s="130"/>
      <c r="GD46" s="130"/>
      <c r="GE46" s="130"/>
      <c r="GF46" s="130"/>
      <c r="GG46" s="130"/>
      <c r="GH46" s="130"/>
      <c r="GI46" s="130"/>
      <c r="GJ46" s="130"/>
      <c r="GK46" s="130"/>
      <c r="GL46" s="130"/>
      <c r="GM46" s="130"/>
      <c r="GN46" s="130"/>
      <c r="GO46" s="130"/>
      <c r="GP46" s="130"/>
      <c r="GQ46" s="130"/>
      <c r="GR46" s="130"/>
      <c r="GS46" s="130"/>
      <c r="GT46" s="130"/>
      <c r="GU46" s="130"/>
      <c r="GV46" s="130"/>
      <c r="GW46" s="130"/>
      <c r="GX46" s="130"/>
      <c r="GY46" s="130"/>
      <c r="GZ46" s="130"/>
      <c r="HA46" s="130"/>
      <c r="HB46" s="130"/>
      <c r="HC46" s="130"/>
      <c r="HD46" s="130"/>
      <c r="HE46" s="130"/>
      <c r="HF46" s="130"/>
      <c r="HG46" s="130"/>
      <c r="HH46" s="130"/>
      <c r="HI46" s="130"/>
      <c r="HJ46" s="130"/>
      <c r="HK46" s="130"/>
      <c r="HL46" s="130"/>
      <c r="HM46" s="130"/>
      <c r="HN46" s="130"/>
      <c r="HO46" s="130"/>
      <c r="HP46" s="130"/>
      <c r="HQ46" s="130"/>
      <c r="HR46" s="130"/>
      <c r="HS46" s="130"/>
      <c r="HT46" s="130"/>
      <c r="HU46" s="130"/>
      <c r="HV46" s="130"/>
      <c r="HW46" s="130"/>
      <c r="HX46" s="130"/>
      <c r="HY46" s="130"/>
      <c r="HZ46" s="130"/>
      <c r="IA46" s="130"/>
      <c r="IB46" s="130"/>
      <c r="IC46" s="130"/>
      <c r="ID46" s="130"/>
      <c r="IE46" s="130"/>
      <c r="IF46" s="130"/>
      <c r="IG46" s="130"/>
      <c r="IH46" s="130"/>
      <c r="II46" s="130"/>
      <c r="IJ46" s="130"/>
      <c r="IK46" s="130"/>
      <c r="IL46" s="130"/>
      <c r="IM46" s="130"/>
      <c r="IN46" s="130"/>
      <c r="IO46" s="130"/>
      <c r="IP46" s="130"/>
      <c r="IQ46" s="130"/>
      <c r="IR46" s="130"/>
      <c r="IS46" s="130"/>
      <c r="IT46" s="130"/>
      <c r="IU46" s="130"/>
    </row>
    <row r="47" spans="1:255" s="123" customFormat="1" ht="40.5" customHeight="1">
      <c r="A47" s="216"/>
      <c r="B47" s="238"/>
      <c r="C47" s="217"/>
      <c r="D47" s="217"/>
      <c r="E47" s="218"/>
      <c r="F47" s="218"/>
      <c r="G47" s="220"/>
      <c r="H47" s="220"/>
      <c r="I47" s="220"/>
      <c r="J47" s="220"/>
      <c r="K47" s="124"/>
      <c r="L47" s="214"/>
      <c r="M47" s="215"/>
      <c r="N47" s="215"/>
      <c r="O47" s="215"/>
      <c r="P47" s="215"/>
      <c r="Q47" s="215"/>
      <c r="R47" s="215"/>
      <c r="S47" s="215"/>
      <c r="T47" s="94" t="s">
        <v>493</v>
      </c>
      <c r="U47" s="112">
        <v>25</v>
      </c>
      <c r="V47" s="127">
        <v>26.6</v>
      </c>
      <c r="W47" s="125" t="str">
        <f>'[1]bang gia'!$C$46</f>
        <v>đồng/cây</v>
      </c>
      <c r="X47" s="120">
        <v>31</v>
      </c>
      <c r="Y47" s="98"/>
      <c r="Z47" s="124"/>
      <c r="AA47" s="121"/>
      <c r="AB47" s="122"/>
      <c r="AC47" s="212"/>
      <c r="AD47" s="212"/>
      <c r="AE47" s="240"/>
    </row>
    <row r="48" spans="1:255" s="123" customFormat="1" ht="25.5" customHeight="1">
      <c r="A48" s="216"/>
      <c r="B48" s="238"/>
      <c r="C48" s="217"/>
      <c r="D48" s="217"/>
      <c r="E48" s="218"/>
      <c r="F48" s="218"/>
      <c r="G48" s="220"/>
      <c r="H48" s="220"/>
      <c r="I48" s="220"/>
      <c r="J48" s="220"/>
      <c r="K48" s="124"/>
      <c r="L48" s="214"/>
      <c r="M48" s="215"/>
      <c r="N48" s="215"/>
      <c r="O48" s="215"/>
      <c r="P48" s="215"/>
      <c r="Q48" s="215"/>
      <c r="R48" s="215"/>
      <c r="S48" s="215"/>
      <c r="T48" s="133" t="s">
        <v>399</v>
      </c>
      <c r="U48" s="112"/>
      <c r="V48" s="125"/>
      <c r="W48" s="125" t="str">
        <f>'[1]bang gia'!$C$46</f>
        <v>đồng/cây</v>
      </c>
      <c r="X48" s="120">
        <v>27</v>
      </c>
      <c r="Y48" s="98">
        <v>4500000</v>
      </c>
      <c r="Z48" s="124"/>
      <c r="AA48" s="121">
        <v>1</v>
      </c>
      <c r="AB48" s="122">
        <f>X48*Y48*AA48</f>
        <v>121500000</v>
      </c>
      <c r="AC48" s="212"/>
      <c r="AD48" s="212"/>
      <c r="AE48" s="240"/>
    </row>
    <row r="49" spans="1:255" s="123" customFormat="1" ht="25.5" customHeight="1">
      <c r="A49" s="216"/>
      <c r="B49" s="238"/>
      <c r="C49" s="217"/>
      <c r="D49" s="217"/>
      <c r="E49" s="218"/>
      <c r="F49" s="218"/>
      <c r="G49" s="220"/>
      <c r="H49" s="220"/>
      <c r="I49" s="220"/>
      <c r="J49" s="220"/>
      <c r="K49" s="124"/>
      <c r="L49" s="214"/>
      <c r="M49" s="215"/>
      <c r="N49" s="215"/>
      <c r="O49" s="215"/>
      <c r="P49" s="215"/>
      <c r="Q49" s="215"/>
      <c r="R49" s="215"/>
      <c r="S49" s="215"/>
      <c r="T49" s="133" t="s">
        <v>401</v>
      </c>
      <c r="U49" s="112"/>
      <c r="V49" s="125">
        <f>(X47-X48)*0.3</f>
        <v>1.2</v>
      </c>
      <c r="W49" s="125" t="str">
        <f>'[1]bang gia'!$C$46</f>
        <v>đồng/cây</v>
      </c>
      <c r="X49" s="120">
        <v>1</v>
      </c>
      <c r="Y49" s="98">
        <v>4500000</v>
      </c>
      <c r="Z49" s="124"/>
      <c r="AA49" s="121">
        <v>0.3</v>
      </c>
      <c r="AB49" s="122">
        <f>X49*Y49*AA49</f>
        <v>1350000</v>
      </c>
      <c r="AC49" s="212"/>
      <c r="AD49" s="212"/>
    </row>
    <row r="50" spans="1:255" s="123" customFormat="1" ht="25.5" customHeight="1">
      <c r="A50" s="216"/>
      <c r="B50" s="238"/>
      <c r="C50" s="217"/>
      <c r="D50" s="217"/>
      <c r="E50" s="218"/>
      <c r="F50" s="218"/>
      <c r="G50" s="220"/>
      <c r="H50" s="220"/>
      <c r="I50" s="220"/>
      <c r="J50" s="220"/>
      <c r="K50" s="124"/>
      <c r="L50" s="214"/>
      <c r="M50" s="215"/>
      <c r="N50" s="215"/>
      <c r="O50" s="215"/>
      <c r="P50" s="215"/>
      <c r="Q50" s="215"/>
      <c r="R50" s="215"/>
      <c r="S50" s="215"/>
      <c r="T50" s="133" t="s">
        <v>402</v>
      </c>
      <c r="U50" s="129"/>
      <c r="V50" s="125"/>
      <c r="W50" s="125" t="str">
        <f>'[1]bang gia'!$C$46</f>
        <v>đồng/cây</v>
      </c>
      <c r="X50" s="120">
        <f>X47-X48-X49</f>
        <v>3</v>
      </c>
      <c r="Y50" s="98">
        <v>4500000</v>
      </c>
      <c r="Z50" s="124"/>
      <c r="AA50" s="121">
        <v>0</v>
      </c>
      <c r="AB50" s="122">
        <f>X50*Y50*AA50</f>
        <v>0</v>
      </c>
      <c r="AC50" s="212"/>
      <c r="AD50" s="212"/>
    </row>
    <row r="51" spans="1:255" s="123" customFormat="1" ht="40.5" customHeight="1">
      <c r="A51" s="216"/>
      <c r="B51" s="238"/>
      <c r="C51" s="217"/>
      <c r="D51" s="217"/>
      <c r="E51" s="218"/>
      <c r="F51" s="218"/>
      <c r="G51" s="220"/>
      <c r="H51" s="220"/>
      <c r="I51" s="220"/>
      <c r="J51" s="220"/>
      <c r="K51" s="124"/>
      <c r="L51" s="214"/>
      <c r="M51" s="215"/>
      <c r="N51" s="215"/>
      <c r="O51" s="215"/>
      <c r="P51" s="215"/>
      <c r="Q51" s="215"/>
      <c r="R51" s="215"/>
      <c r="S51" s="215"/>
      <c r="T51" s="94" t="s">
        <v>517</v>
      </c>
      <c r="U51" s="129">
        <v>20</v>
      </c>
      <c r="V51" s="127">
        <f>(G46-X46-V56-V57)/20*0.3</f>
        <v>9.9659999999999993</v>
      </c>
      <c r="W51" s="125" t="str">
        <f>'[1]bang gia'!$C$46</f>
        <v>đồng/cây</v>
      </c>
      <c r="X51" s="120">
        <v>25</v>
      </c>
      <c r="Y51" s="98"/>
      <c r="Z51" s="124"/>
      <c r="AA51" s="121"/>
      <c r="AB51" s="122"/>
      <c r="AC51" s="212"/>
      <c r="AD51" s="212"/>
    </row>
    <row r="52" spans="1:255" s="123" customFormat="1" ht="27" customHeight="1">
      <c r="A52" s="216"/>
      <c r="B52" s="238"/>
      <c r="C52" s="217"/>
      <c r="D52" s="217"/>
      <c r="E52" s="218"/>
      <c r="F52" s="218"/>
      <c r="G52" s="220"/>
      <c r="H52" s="220"/>
      <c r="I52" s="220"/>
      <c r="J52" s="220"/>
      <c r="K52" s="124"/>
      <c r="L52" s="214"/>
      <c r="M52" s="215"/>
      <c r="N52" s="215"/>
      <c r="O52" s="215"/>
      <c r="P52" s="215"/>
      <c r="Q52" s="215"/>
      <c r="R52" s="215"/>
      <c r="S52" s="215"/>
      <c r="T52" s="133" t="s">
        <v>401</v>
      </c>
      <c r="U52" s="129"/>
      <c r="V52" s="125"/>
      <c r="W52" s="125" t="str">
        <f>'[1]bang gia'!$C$46</f>
        <v>đồng/cây</v>
      </c>
      <c r="X52" s="120">
        <v>10</v>
      </c>
      <c r="Y52" s="98">
        <v>2500000</v>
      </c>
      <c r="Z52" s="124"/>
      <c r="AA52" s="121">
        <v>0.3</v>
      </c>
      <c r="AB52" s="122">
        <f>X52*Y52*AA52</f>
        <v>7500000</v>
      </c>
      <c r="AC52" s="212"/>
      <c r="AD52" s="212"/>
    </row>
    <row r="53" spans="1:255" s="123" customFormat="1" ht="27" customHeight="1">
      <c r="A53" s="216"/>
      <c r="B53" s="238"/>
      <c r="C53" s="217"/>
      <c r="D53" s="217"/>
      <c r="E53" s="218"/>
      <c r="F53" s="218"/>
      <c r="G53" s="220"/>
      <c r="H53" s="220"/>
      <c r="I53" s="220"/>
      <c r="J53" s="220"/>
      <c r="K53" s="124"/>
      <c r="L53" s="214"/>
      <c r="M53" s="215"/>
      <c r="N53" s="215"/>
      <c r="O53" s="215"/>
      <c r="P53" s="215"/>
      <c r="Q53" s="215"/>
      <c r="R53" s="215"/>
      <c r="S53" s="215"/>
      <c r="T53" s="133" t="s">
        <v>402</v>
      </c>
      <c r="U53" s="129"/>
      <c r="V53" s="125"/>
      <c r="W53" s="125" t="str">
        <f>'[1]bang gia'!$C$46</f>
        <v>đồng/cây</v>
      </c>
      <c r="X53" s="120">
        <f>X51-X52</f>
        <v>15</v>
      </c>
      <c r="Y53" s="98">
        <v>2500000</v>
      </c>
      <c r="Z53" s="124"/>
      <c r="AA53" s="121">
        <v>0</v>
      </c>
      <c r="AB53" s="122">
        <f>X53*Y53*AA53</f>
        <v>0</v>
      </c>
      <c r="AC53" s="212"/>
      <c r="AD53" s="212"/>
    </row>
    <row r="54" spans="1:255" s="123" customFormat="1" ht="39.75" customHeight="1">
      <c r="A54" s="216"/>
      <c r="B54" s="238"/>
      <c r="C54" s="217"/>
      <c r="D54" s="217"/>
      <c r="E54" s="218"/>
      <c r="F54" s="218"/>
      <c r="G54" s="220"/>
      <c r="H54" s="220"/>
      <c r="I54" s="220"/>
      <c r="J54" s="220"/>
      <c r="K54" s="124"/>
      <c r="L54" s="214"/>
      <c r="M54" s="215"/>
      <c r="N54" s="215"/>
      <c r="O54" s="215"/>
      <c r="P54" s="215"/>
      <c r="Q54" s="215"/>
      <c r="R54" s="215"/>
      <c r="S54" s="215"/>
      <c r="T54" s="94" t="s">
        <v>518</v>
      </c>
      <c r="U54" s="129"/>
      <c r="V54" s="125"/>
      <c r="W54" s="125" t="str">
        <f>'[1]bang gia'!$C$46</f>
        <v>đồng/cây</v>
      </c>
      <c r="X54" s="120">
        <v>10</v>
      </c>
      <c r="Y54" s="98">
        <v>200000</v>
      </c>
      <c r="Z54" s="124"/>
      <c r="AA54" s="121">
        <v>0</v>
      </c>
      <c r="AB54" s="122">
        <f>X54*Y54*AA54</f>
        <v>0</v>
      </c>
      <c r="AC54" s="212"/>
      <c r="AD54" s="212"/>
    </row>
    <row r="55" spans="1:255" s="123" customFormat="1" ht="42.75" customHeight="1">
      <c r="A55" s="216"/>
      <c r="B55" s="238"/>
      <c r="C55" s="217"/>
      <c r="D55" s="217"/>
      <c r="E55" s="218"/>
      <c r="F55" s="218"/>
      <c r="G55" s="220"/>
      <c r="H55" s="220"/>
      <c r="I55" s="220"/>
      <c r="J55" s="220"/>
      <c r="K55" s="124"/>
      <c r="L55" s="214"/>
      <c r="M55" s="215"/>
      <c r="N55" s="215"/>
      <c r="O55" s="215"/>
      <c r="P55" s="215"/>
      <c r="Q55" s="215"/>
      <c r="R55" s="215"/>
      <c r="S55" s="215"/>
      <c r="T55" s="94" t="s">
        <v>651</v>
      </c>
      <c r="U55" s="129"/>
      <c r="V55" s="125"/>
      <c r="W55" s="125" t="s">
        <v>6</v>
      </c>
      <c r="X55" s="122">
        <v>250</v>
      </c>
      <c r="Y55" s="98">
        <v>30000</v>
      </c>
      <c r="Z55" s="124"/>
      <c r="AA55" s="121">
        <v>1</v>
      </c>
      <c r="AB55" s="122">
        <f>X55*Y55*AA55</f>
        <v>7500000</v>
      </c>
      <c r="AC55" s="212"/>
      <c r="AD55" s="212"/>
    </row>
    <row r="56" spans="1:255" s="123" customFormat="1" ht="26.25" customHeight="1">
      <c r="A56" s="216"/>
      <c r="B56" s="238"/>
      <c r="C56" s="217"/>
      <c r="D56" s="217"/>
      <c r="E56" s="218"/>
      <c r="F56" s="218"/>
      <c r="G56" s="220"/>
      <c r="H56" s="220"/>
      <c r="I56" s="220"/>
      <c r="J56" s="220"/>
      <c r="K56" s="124"/>
      <c r="L56" s="214"/>
      <c r="M56" s="215"/>
      <c r="N56" s="215"/>
      <c r="O56" s="215"/>
      <c r="P56" s="215"/>
      <c r="Q56" s="215"/>
      <c r="R56" s="215"/>
      <c r="S56" s="215"/>
      <c r="T56" s="126" t="s">
        <v>519</v>
      </c>
      <c r="U56" s="112"/>
      <c r="V56" s="112">
        <v>9.6</v>
      </c>
      <c r="W56" s="112" t="s">
        <v>6</v>
      </c>
      <c r="X56" s="144">
        <v>9.6</v>
      </c>
      <c r="Y56" s="120"/>
      <c r="Z56" s="124"/>
      <c r="AA56" s="121">
        <v>0</v>
      </c>
      <c r="AB56" s="120">
        <v>0</v>
      </c>
      <c r="AC56" s="212"/>
      <c r="AD56" s="212"/>
    </row>
    <row r="57" spans="1:255" s="123" customFormat="1" ht="36" customHeight="1">
      <c r="A57" s="216"/>
      <c r="B57" s="238"/>
      <c r="C57" s="217"/>
      <c r="D57" s="217"/>
      <c r="E57" s="218"/>
      <c r="F57" s="218"/>
      <c r="G57" s="220"/>
      <c r="H57" s="220"/>
      <c r="I57" s="220"/>
      <c r="J57" s="220"/>
      <c r="K57" s="124"/>
      <c r="L57" s="214"/>
      <c r="M57" s="215"/>
      <c r="N57" s="215"/>
      <c r="O57" s="215"/>
      <c r="P57" s="215"/>
      <c r="Q57" s="215"/>
      <c r="R57" s="215"/>
      <c r="S57" s="215"/>
      <c r="T57" s="126" t="s">
        <v>520</v>
      </c>
      <c r="U57" s="112"/>
      <c r="V57" s="112">
        <v>6</v>
      </c>
      <c r="W57" s="112" t="s">
        <v>6</v>
      </c>
      <c r="X57" s="122">
        <v>6</v>
      </c>
      <c r="Y57" s="120"/>
      <c r="Z57" s="124"/>
      <c r="AA57" s="121">
        <v>0</v>
      </c>
      <c r="AB57" s="120">
        <v>0</v>
      </c>
      <c r="AC57" s="212"/>
      <c r="AD57" s="212"/>
    </row>
    <row r="58" spans="1:255" s="123" customFormat="1" ht="42" customHeight="1">
      <c r="A58" s="216"/>
      <c r="B58" s="238"/>
      <c r="C58" s="217"/>
      <c r="D58" s="217"/>
      <c r="E58" s="218"/>
      <c r="F58" s="218"/>
      <c r="G58" s="220"/>
      <c r="H58" s="220"/>
      <c r="I58" s="220"/>
      <c r="J58" s="220"/>
      <c r="K58" s="124"/>
      <c r="L58" s="214"/>
      <c r="M58" s="215"/>
      <c r="N58" s="215"/>
      <c r="O58" s="215"/>
      <c r="P58" s="215"/>
      <c r="Q58" s="215"/>
      <c r="R58" s="215"/>
      <c r="S58" s="215"/>
      <c r="T58" s="140" t="s">
        <v>521</v>
      </c>
      <c r="U58" s="96"/>
      <c r="V58" s="112"/>
      <c r="W58" s="112" t="s">
        <v>522</v>
      </c>
      <c r="X58" s="122" t="s">
        <v>523</v>
      </c>
      <c r="Y58" s="120"/>
      <c r="Z58" s="124"/>
      <c r="AA58" s="121">
        <v>0</v>
      </c>
      <c r="AB58" s="120">
        <v>0</v>
      </c>
      <c r="AC58" s="212"/>
      <c r="AD58" s="212"/>
    </row>
    <row r="59" spans="1:255" s="123" customFormat="1" ht="27" customHeight="1">
      <c r="A59" s="216"/>
      <c r="B59" s="238"/>
      <c r="C59" s="217"/>
      <c r="D59" s="217"/>
      <c r="E59" s="218"/>
      <c r="F59" s="218"/>
      <c r="G59" s="220"/>
      <c r="H59" s="220"/>
      <c r="I59" s="220"/>
      <c r="J59" s="220"/>
      <c r="K59" s="124"/>
      <c r="L59" s="214"/>
      <c r="M59" s="215"/>
      <c r="N59" s="215"/>
      <c r="O59" s="215"/>
      <c r="P59" s="215"/>
      <c r="Q59" s="215"/>
      <c r="R59" s="215"/>
      <c r="S59" s="215"/>
      <c r="T59" s="140" t="s">
        <v>524</v>
      </c>
      <c r="U59" s="96"/>
      <c r="V59" s="112"/>
      <c r="W59" s="96" t="s">
        <v>7</v>
      </c>
      <c r="X59" s="122"/>
      <c r="Y59" s="97"/>
      <c r="Z59" s="124"/>
      <c r="AA59" s="121">
        <v>0</v>
      </c>
      <c r="AB59" s="120">
        <v>0</v>
      </c>
      <c r="AC59" s="212"/>
      <c r="AD59" s="212"/>
    </row>
    <row r="60" spans="1:255" s="123" customFormat="1" ht="27" customHeight="1">
      <c r="A60" s="216"/>
      <c r="B60" s="238"/>
      <c r="C60" s="217"/>
      <c r="D60" s="217"/>
      <c r="E60" s="218"/>
      <c r="F60" s="218"/>
      <c r="G60" s="220"/>
      <c r="H60" s="220"/>
      <c r="I60" s="220"/>
      <c r="J60" s="220"/>
      <c r="K60" s="124"/>
      <c r="L60" s="214"/>
      <c r="M60" s="215"/>
      <c r="N60" s="215"/>
      <c r="O60" s="215"/>
      <c r="P60" s="215"/>
      <c r="Q60" s="215"/>
      <c r="R60" s="215"/>
      <c r="S60" s="215"/>
      <c r="T60" s="126" t="s">
        <v>525</v>
      </c>
      <c r="U60" s="112"/>
      <c r="V60" s="112"/>
      <c r="W60" s="112" t="s">
        <v>395</v>
      </c>
      <c r="X60" s="122">
        <v>1</v>
      </c>
      <c r="Y60" s="120"/>
      <c r="Z60" s="124"/>
      <c r="AA60" s="121">
        <v>0</v>
      </c>
      <c r="AB60" s="122">
        <f t="shared" ref="AB60:AB67" si="3">X60*Y60*AA60</f>
        <v>0</v>
      </c>
      <c r="AC60" s="212"/>
      <c r="AD60" s="212"/>
    </row>
    <row r="61" spans="1:255" s="123" customFormat="1" ht="27" customHeight="1">
      <c r="A61" s="216"/>
      <c r="B61" s="238"/>
      <c r="C61" s="217"/>
      <c r="D61" s="217"/>
      <c r="E61" s="218"/>
      <c r="F61" s="218"/>
      <c r="G61" s="220"/>
      <c r="H61" s="220"/>
      <c r="I61" s="220"/>
      <c r="J61" s="220"/>
      <c r="K61" s="124"/>
      <c r="L61" s="214"/>
      <c r="M61" s="215"/>
      <c r="N61" s="215"/>
      <c r="O61" s="215"/>
      <c r="P61" s="215"/>
      <c r="Q61" s="215"/>
      <c r="R61" s="215"/>
      <c r="S61" s="215"/>
      <c r="T61" s="126" t="s">
        <v>526</v>
      </c>
      <c r="U61" s="112"/>
      <c r="V61" s="125"/>
      <c r="W61" s="125" t="s">
        <v>501</v>
      </c>
      <c r="X61" s="134"/>
      <c r="Y61" s="120"/>
      <c r="Z61" s="124"/>
      <c r="AA61" s="121">
        <v>0</v>
      </c>
      <c r="AB61" s="120">
        <v>0</v>
      </c>
      <c r="AC61" s="212"/>
      <c r="AD61" s="212"/>
    </row>
    <row r="62" spans="1:255" s="123" customFormat="1" ht="40.5" customHeight="1">
      <c r="A62" s="216"/>
      <c r="B62" s="238"/>
      <c r="C62" s="217">
        <v>64</v>
      </c>
      <c r="D62" s="217">
        <v>398</v>
      </c>
      <c r="E62" s="218">
        <v>360.7</v>
      </c>
      <c r="F62" s="218" t="s">
        <v>393</v>
      </c>
      <c r="G62" s="220">
        <v>360</v>
      </c>
      <c r="H62" s="220">
        <f>E62-G62</f>
        <v>0.69999999999998863</v>
      </c>
      <c r="I62" s="220">
        <v>360</v>
      </c>
      <c r="J62" s="220"/>
      <c r="K62" s="124"/>
      <c r="L62" s="214"/>
      <c r="M62" s="215"/>
      <c r="N62" s="215"/>
      <c r="O62" s="215"/>
      <c r="P62" s="215"/>
      <c r="Q62" s="215"/>
      <c r="R62" s="215"/>
      <c r="S62" s="215"/>
      <c r="T62" s="117" t="s">
        <v>491</v>
      </c>
      <c r="U62" s="112"/>
      <c r="V62" s="125"/>
      <c r="W62" s="118" t="s">
        <v>0</v>
      </c>
      <c r="X62" s="120">
        <v>180</v>
      </c>
      <c r="Y62" s="120">
        <v>97000</v>
      </c>
      <c r="Z62" s="124"/>
      <c r="AA62" s="121">
        <v>1</v>
      </c>
      <c r="AB62" s="122">
        <f t="shared" si="3"/>
        <v>17460000</v>
      </c>
      <c r="AC62" s="212">
        <f>SUM(AB62:AB68)</f>
        <v>46710000</v>
      </c>
      <c r="AD62" s="212"/>
      <c r="AE62" s="239" t="s">
        <v>497</v>
      </c>
      <c r="AF62" s="130"/>
      <c r="AG62" s="130"/>
      <c r="AH62" s="130"/>
      <c r="AI62" s="130"/>
      <c r="AJ62" s="130"/>
      <c r="AK62" s="130"/>
      <c r="AL62" s="130"/>
      <c r="AM62" s="130"/>
      <c r="AN62" s="130"/>
      <c r="AO62" s="130"/>
      <c r="AP62" s="130"/>
      <c r="AQ62" s="130"/>
      <c r="AR62" s="130"/>
      <c r="AS62" s="130"/>
      <c r="AT62" s="130"/>
      <c r="AU62" s="130"/>
      <c r="AV62" s="130"/>
      <c r="AW62" s="130"/>
      <c r="AX62" s="130"/>
      <c r="AY62" s="130"/>
      <c r="AZ62" s="130"/>
      <c r="BA62" s="130"/>
      <c r="BB62" s="130"/>
      <c r="BC62" s="130"/>
      <c r="BD62" s="130"/>
      <c r="BE62" s="130"/>
      <c r="BF62" s="130"/>
      <c r="BG62" s="130"/>
      <c r="BH62" s="130"/>
      <c r="BI62" s="130"/>
      <c r="BJ62" s="130"/>
      <c r="BK62" s="130"/>
      <c r="BL62" s="130"/>
      <c r="BM62" s="130"/>
      <c r="BN62" s="130"/>
      <c r="BO62" s="130"/>
      <c r="BP62" s="130"/>
      <c r="BQ62" s="130"/>
      <c r="BR62" s="130"/>
      <c r="BS62" s="130"/>
      <c r="BT62" s="130"/>
      <c r="BU62" s="130"/>
      <c r="BV62" s="130"/>
      <c r="BW62" s="130"/>
      <c r="BX62" s="130"/>
      <c r="BY62" s="130"/>
      <c r="BZ62" s="130"/>
      <c r="CA62" s="130"/>
      <c r="CB62" s="130"/>
      <c r="CC62" s="130"/>
      <c r="CD62" s="130"/>
      <c r="CE62" s="130"/>
      <c r="CF62" s="130"/>
      <c r="CG62" s="130"/>
      <c r="CH62" s="130"/>
      <c r="CI62" s="130"/>
      <c r="CJ62" s="130"/>
      <c r="CK62" s="130"/>
      <c r="CL62" s="130"/>
      <c r="CM62" s="130"/>
      <c r="CN62" s="130"/>
      <c r="CO62" s="130"/>
      <c r="CP62" s="130"/>
      <c r="CQ62" s="130"/>
      <c r="CR62" s="130"/>
      <c r="CS62" s="130"/>
      <c r="CT62" s="130"/>
      <c r="CU62" s="130"/>
      <c r="CV62" s="130"/>
      <c r="CW62" s="130"/>
      <c r="CX62" s="130"/>
      <c r="CY62" s="130"/>
      <c r="CZ62" s="130"/>
      <c r="DA62" s="130"/>
      <c r="DB62" s="130"/>
      <c r="DC62" s="130"/>
      <c r="DD62" s="130"/>
      <c r="DE62" s="130"/>
      <c r="DF62" s="130"/>
      <c r="DG62" s="130"/>
      <c r="DH62" s="130"/>
      <c r="DI62" s="130"/>
      <c r="DJ62" s="130"/>
      <c r="DK62" s="130"/>
      <c r="DL62" s="130"/>
      <c r="DM62" s="130"/>
      <c r="DN62" s="130"/>
      <c r="DO62" s="130"/>
      <c r="DP62" s="130"/>
      <c r="DQ62" s="130"/>
      <c r="DR62" s="130"/>
      <c r="DS62" s="130"/>
      <c r="DT62" s="130"/>
      <c r="DU62" s="130"/>
      <c r="DV62" s="130"/>
      <c r="DW62" s="130"/>
      <c r="DX62" s="130"/>
      <c r="DY62" s="130"/>
      <c r="DZ62" s="130"/>
      <c r="EA62" s="130"/>
      <c r="EB62" s="130"/>
      <c r="EC62" s="130"/>
      <c r="ED62" s="130"/>
      <c r="EE62" s="130"/>
      <c r="EF62" s="130"/>
      <c r="EG62" s="130"/>
      <c r="EH62" s="130"/>
      <c r="EI62" s="130"/>
      <c r="EJ62" s="130"/>
      <c r="EK62" s="130"/>
      <c r="EL62" s="130"/>
      <c r="EM62" s="130"/>
      <c r="EN62" s="130"/>
      <c r="EO62" s="130"/>
      <c r="EP62" s="130"/>
      <c r="EQ62" s="130"/>
      <c r="ER62" s="130"/>
      <c r="ES62" s="130"/>
      <c r="ET62" s="130"/>
      <c r="EU62" s="130"/>
      <c r="EV62" s="130"/>
      <c r="EW62" s="130"/>
      <c r="EX62" s="130"/>
      <c r="EY62" s="130"/>
      <c r="EZ62" s="130"/>
      <c r="FA62" s="130"/>
      <c r="FB62" s="130"/>
      <c r="FC62" s="130"/>
      <c r="FD62" s="130"/>
      <c r="FE62" s="130"/>
      <c r="FF62" s="130"/>
      <c r="FG62" s="130"/>
      <c r="FH62" s="130"/>
      <c r="FI62" s="130"/>
      <c r="FJ62" s="130"/>
      <c r="FK62" s="130"/>
      <c r="FL62" s="130"/>
      <c r="FM62" s="130"/>
      <c r="FN62" s="130"/>
      <c r="FO62" s="130"/>
      <c r="FP62" s="130"/>
      <c r="FQ62" s="130"/>
      <c r="FR62" s="130"/>
      <c r="FS62" s="130"/>
      <c r="FT62" s="130"/>
      <c r="FU62" s="130"/>
      <c r="FV62" s="130"/>
      <c r="FW62" s="130"/>
      <c r="FX62" s="130"/>
      <c r="FY62" s="130"/>
      <c r="FZ62" s="130"/>
      <c r="GA62" s="130"/>
      <c r="GB62" s="130"/>
      <c r="GC62" s="130"/>
      <c r="GD62" s="130"/>
      <c r="GE62" s="130"/>
      <c r="GF62" s="130"/>
      <c r="GG62" s="130"/>
      <c r="GH62" s="130"/>
      <c r="GI62" s="130"/>
      <c r="GJ62" s="130"/>
      <c r="GK62" s="130"/>
      <c r="GL62" s="130"/>
      <c r="GM62" s="130"/>
      <c r="GN62" s="130"/>
      <c r="GO62" s="130"/>
      <c r="GP62" s="130"/>
      <c r="GQ62" s="130"/>
      <c r="GR62" s="130"/>
      <c r="GS62" s="130"/>
      <c r="GT62" s="130"/>
      <c r="GU62" s="130"/>
      <c r="GV62" s="130"/>
      <c r="GW62" s="130"/>
      <c r="GX62" s="130"/>
      <c r="GY62" s="130"/>
      <c r="GZ62" s="130"/>
      <c r="HA62" s="130"/>
      <c r="HB62" s="130"/>
      <c r="HC62" s="130"/>
      <c r="HD62" s="130"/>
      <c r="HE62" s="130"/>
      <c r="HF62" s="130"/>
      <c r="HG62" s="130"/>
      <c r="HH62" s="130"/>
      <c r="HI62" s="130"/>
      <c r="HJ62" s="130"/>
      <c r="HK62" s="130"/>
      <c r="HL62" s="130"/>
      <c r="HM62" s="130"/>
      <c r="HN62" s="130"/>
      <c r="HO62" s="130"/>
      <c r="HP62" s="130"/>
      <c r="HQ62" s="130"/>
      <c r="HR62" s="130"/>
      <c r="HS62" s="130"/>
      <c r="HT62" s="130"/>
      <c r="HU62" s="130"/>
      <c r="HV62" s="130"/>
      <c r="HW62" s="130"/>
      <c r="HX62" s="130"/>
      <c r="HY62" s="130"/>
      <c r="HZ62" s="130"/>
      <c r="IA62" s="130"/>
      <c r="IB62" s="130"/>
      <c r="IC62" s="130"/>
      <c r="ID62" s="130"/>
      <c r="IE62" s="130"/>
      <c r="IF62" s="130"/>
      <c r="IG62" s="130"/>
      <c r="IH62" s="130"/>
      <c r="II62" s="130"/>
      <c r="IJ62" s="130"/>
      <c r="IK62" s="130"/>
      <c r="IL62" s="130"/>
      <c r="IM62" s="130"/>
      <c r="IN62" s="130"/>
      <c r="IO62" s="130"/>
      <c r="IP62" s="130"/>
      <c r="IQ62" s="130"/>
      <c r="IR62" s="130"/>
      <c r="IS62" s="130"/>
      <c r="IT62" s="130"/>
      <c r="IU62" s="130"/>
    </row>
    <row r="63" spans="1:255" s="123" customFormat="1" ht="36" customHeight="1">
      <c r="A63" s="216"/>
      <c r="B63" s="238"/>
      <c r="C63" s="217"/>
      <c r="D63" s="217"/>
      <c r="E63" s="218"/>
      <c r="F63" s="218"/>
      <c r="G63" s="220"/>
      <c r="H63" s="220"/>
      <c r="I63" s="220"/>
      <c r="J63" s="220"/>
      <c r="K63" s="124"/>
      <c r="L63" s="214"/>
      <c r="M63" s="215"/>
      <c r="N63" s="215"/>
      <c r="O63" s="215"/>
      <c r="P63" s="215"/>
      <c r="Q63" s="215"/>
      <c r="R63" s="215"/>
      <c r="S63" s="215"/>
      <c r="T63" s="94" t="s">
        <v>527</v>
      </c>
      <c r="U63" s="129">
        <v>20</v>
      </c>
      <c r="V63" s="125">
        <f>(G62-X62)/20</f>
        <v>9</v>
      </c>
      <c r="W63" s="125" t="str">
        <f>'[1]bang gia'!$C$46</f>
        <v>đồng/cây</v>
      </c>
      <c r="X63" s="120">
        <v>15</v>
      </c>
      <c r="Y63" s="98"/>
      <c r="Z63" s="124"/>
      <c r="AA63" s="121"/>
      <c r="AB63" s="122"/>
      <c r="AC63" s="212"/>
      <c r="AD63" s="212"/>
      <c r="AE63" s="240"/>
    </row>
    <row r="64" spans="1:255" s="123" customFormat="1" ht="25.5" customHeight="1">
      <c r="A64" s="216"/>
      <c r="B64" s="238"/>
      <c r="C64" s="217"/>
      <c r="D64" s="217"/>
      <c r="E64" s="218"/>
      <c r="F64" s="218"/>
      <c r="G64" s="220"/>
      <c r="H64" s="220"/>
      <c r="I64" s="220"/>
      <c r="J64" s="220"/>
      <c r="K64" s="124"/>
      <c r="L64" s="214"/>
      <c r="M64" s="215"/>
      <c r="N64" s="215"/>
      <c r="O64" s="215"/>
      <c r="P64" s="215"/>
      <c r="Q64" s="215"/>
      <c r="R64" s="215"/>
      <c r="S64" s="215"/>
      <c r="T64" s="133" t="s">
        <v>399</v>
      </c>
      <c r="U64" s="129"/>
      <c r="V64" s="125"/>
      <c r="W64" s="125" t="str">
        <f>'[1]bang gia'!$C$46</f>
        <v>đồng/cây</v>
      </c>
      <c r="X64" s="120">
        <v>9</v>
      </c>
      <c r="Y64" s="98">
        <v>2500000</v>
      </c>
      <c r="Z64" s="124"/>
      <c r="AA64" s="121">
        <v>1</v>
      </c>
      <c r="AB64" s="122">
        <f t="shared" si="3"/>
        <v>22500000</v>
      </c>
      <c r="AC64" s="212"/>
      <c r="AD64" s="212"/>
      <c r="AE64" s="240"/>
    </row>
    <row r="65" spans="1:255" s="123" customFormat="1" ht="27" customHeight="1">
      <c r="A65" s="216"/>
      <c r="B65" s="238"/>
      <c r="C65" s="217"/>
      <c r="D65" s="217"/>
      <c r="E65" s="218"/>
      <c r="F65" s="218"/>
      <c r="G65" s="220"/>
      <c r="H65" s="220"/>
      <c r="I65" s="220"/>
      <c r="J65" s="220"/>
      <c r="K65" s="124"/>
      <c r="L65" s="214"/>
      <c r="M65" s="215"/>
      <c r="N65" s="215"/>
      <c r="O65" s="215"/>
      <c r="P65" s="215"/>
      <c r="Q65" s="215"/>
      <c r="R65" s="215"/>
      <c r="S65" s="215"/>
      <c r="T65" s="133" t="s">
        <v>401</v>
      </c>
      <c r="U65" s="129"/>
      <c r="V65" s="120">
        <f>X64*0.3</f>
        <v>2.6999999999999997</v>
      </c>
      <c r="W65" s="125" t="str">
        <f>'[1]bang gia'!$C$46</f>
        <v>đồng/cây</v>
      </c>
      <c r="X65" s="120">
        <v>3</v>
      </c>
      <c r="Y65" s="98">
        <v>2500000</v>
      </c>
      <c r="Z65" s="124"/>
      <c r="AA65" s="121">
        <v>0.5</v>
      </c>
      <c r="AB65" s="122">
        <f t="shared" si="3"/>
        <v>3750000</v>
      </c>
      <c r="AC65" s="212"/>
      <c r="AD65" s="212"/>
    </row>
    <row r="66" spans="1:255" s="123" customFormat="1" ht="27" customHeight="1">
      <c r="A66" s="216"/>
      <c r="B66" s="238"/>
      <c r="C66" s="217"/>
      <c r="D66" s="217"/>
      <c r="E66" s="218"/>
      <c r="F66" s="218"/>
      <c r="G66" s="220"/>
      <c r="H66" s="220"/>
      <c r="I66" s="220"/>
      <c r="J66" s="220"/>
      <c r="K66" s="124"/>
      <c r="L66" s="214"/>
      <c r="M66" s="215"/>
      <c r="N66" s="215"/>
      <c r="O66" s="215"/>
      <c r="P66" s="215"/>
      <c r="Q66" s="215"/>
      <c r="R66" s="215"/>
      <c r="S66" s="215"/>
      <c r="T66" s="133" t="s">
        <v>402</v>
      </c>
      <c r="U66" s="129"/>
      <c r="V66" s="125"/>
      <c r="W66" s="125" t="str">
        <f>'[1]bang gia'!$C$46</f>
        <v>đồng/cây</v>
      </c>
      <c r="X66" s="120">
        <f>X63-X64-X65</f>
        <v>3</v>
      </c>
      <c r="Y66" s="98">
        <v>2500000</v>
      </c>
      <c r="Z66" s="124"/>
      <c r="AA66" s="121">
        <v>0</v>
      </c>
      <c r="AB66" s="122">
        <f t="shared" si="3"/>
        <v>0</v>
      </c>
      <c r="AC66" s="212"/>
      <c r="AD66" s="212"/>
    </row>
    <row r="67" spans="1:255" s="123" customFormat="1" ht="39.75" customHeight="1">
      <c r="A67" s="216"/>
      <c r="B67" s="238"/>
      <c r="C67" s="217"/>
      <c r="D67" s="217"/>
      <c r="E67" s="218"/>
      <c r="F67" s="218"/>
      <c r="G67" s="220"/>
      <c r="H67" s="220"/>
      <c r="I67" s="220"/>
      <c r="J67" s="220"/>
      <c r="K67" s="124"/>
      <c r="L67" s="214"/>
      <c r="M67" s="215"/>
      <c r="N67" s="215"/>
      <c r="O67" s="215"/>
      <c r="P67" s="215"/>
      <c r="Q67" s="215"/>
      <c r="R67" s="215"/>
      <c r="S67" s="215"/>
      <c r="T67" s="94" t="s">
        <v>652</v>
      </c>
      <c r="U67" s="129"/>
      <c r="V67" s="125"/>
      <c r="W67" s="125" t="s">
        <v>6</v>
      </c>
      <c r="X67" s="122">
        <v>100</v>
      </c>
      <c r="Y67" s="98">
        <v>30000</v>
      </c>
      <c r="Z67" s="124"/>
      <c r="AA67" s="121">
        <v>1</v>
      </c>
      <c r="AB67" s="122">
        <f t="shared" si="3"/>
        <v>3000000</v>
      </c>
      <c r="AC67" s="212"/>
      <c r="AD67" s="212"/>
    </row>
    <row r="68" spans="1:255" s="123" customFormat="1" ht="27" customHeight="1">
      <c r="A68" s="216"/>
      <c r="B68" s="238"/>
      <c r="C68" s="217"/>
      <c r="D68" s="217"/>
      <c r="E68" s="218"/>
      <c r="F68" s="218"/>
      <c r="G68" s="220"/>
      <c r="H68" s="220"/>
      <c r="I68" s="220"/>
      <c r="J68" s="220"/>
      <c r="K68" s="124"/>
      <c r="L68" s="214"/>
      <c r="M68" s="215"/>
      <c r="N68" s="215"/>
      <c r="O68" s="215"/>
      <c r="P68" s="215"/>
      <c r="Q68" s="215"/>
      <c r="R68" s="215"/>
      <c r="S68" s="215"/>
      <c r="T68" s="140" t="s">
        <v>528</v>
      </c>
      <c r="U68" s="96"/>
      <c r="V68" s="112"/>
      <c r="W68" s="96" t="s">
        <v>7</v>
      </c>
      <c r="X68" s="122"/>
      <c r="Y68" s="97"/>
      <c r="Z68" s="124"/>
      <c r="AA68" s="121">
        <v>0</v>
      </c>
      <c r="AB68" s="120">
        <v>0</v>
      </c>
      <c r="AC68" s="212"/>
      <c r="AD68" s="212"/>
    </row>
    <row r="69" spans="1:255" s="123" customFormat="1" ht="37.5" customHeight="1">
      <c r="A69" s="216">
        <v>5</v>
      </c>
      <c r="B69" s="238" t="s">
        <v>529</v>
      </c>
      <c r="C69" s="217">
        <v>64</v>
      </c>
      <c r="D69" s="217">
        <v>512</v>
      </c>
      <c r="E69" s="218">
        <v>395.4</v>
      </c>
      <c r="F69" s="218" t="s">
        <v>26</v>
      </c>
      <c r="G69" s="220">
        <v>378</v>
      </c>
      <c r="H69" s="220">
        <f>E69-G69</f>
        <v>17.399999999999977</v>
      </c>
      <c r="I69" s="220">
        <v>378</v>
      </c>
      <c r="J69" s="220">
        <v>378</v>
      </c>
      <c r="K69" s="124"/>
      <c r="L69" s="214">
        <f>I69/J69*100</f>
        <v>100</v>
      </c>
      <c r="M69" s="215">
        <f>IF(L69&lt;10,2,IF(L69&lt;20,3,IF(L69&lt;30,5,IF(L69&gt;=70,12,IF(L69&gt;=30,6)))))</f>
        <v>12</v>
      </c>
      <c r="N69" s="215">
        <v>5</v>
      </c>
      <c r="O69" s="215">
        <f>$O$6</f>
        <v>80000</v>
      </c>
      <c r="P69" s="215">
        <f>I69*O69</f>
        <v>30240000</v>
      </c>
      <c r="Q69" s="215">
        <f>$Q$6*I69</f>
        <v>90720000</v>
      </c>
      <c r="R69" s="215">
        <f>M69*N69*$R$6</f>
        <v>30600000</v>
      </c>
      <c r="S69" s="215">
        <f>R69+Q69+P69</f>
        <v>151560000</v>
      </c>
      <c r="T69" s="94" t="s">
        <v>530</v>
      </c>
      <c r="U69" s="129">
        <v>20</v>
      </c>
      <c r="V69" s="127">
        <f>(I69-6)/20</f>
        <v>18.600000000000001</v>
      </c>
      <c r="W69" s="125" t="str">
        <f>'[1]bang gia'!$C$46</f>
        <v>đồng/cây</v>
      </c>
      <c r="X69" s="120">
        <v>12</v>
      </c>
      <c r="Y69" s="98"/>
      <c r="Z69" s="124"/>
      <c r="AA69" s="121"/>
      <c r="AB69" s="122"/>
      <c r="AC69" s="212">
        <f>SUM(AB69:AB83)</f>
        <v>68500000</v>
      </c>
      <c r="AD69" s="212">
        <f>AC69+S69</f>
        <v>220060000</v>
      </c>
      <c r="AE69" s="239" t="s">
        <v>497</v>
      </c>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130"/>
      <c r="BE69" s="130"/>
      <c r="BF69" s="130"/>
      <c r="BG69" s="130"/>
      <c r="BH69" s="130"/>
      <c r="BI69" s="130"/>
      <c r="BJ69" s="130"/>
      <c r="BK69" s="130"/>
      <c r="BL69" s="130"/>
      <c r="BM69" s="130"/>
      <c r="BN69" s="130"/>
      <c r="BO69" s="130"/>
      <c r="BP69" s="130"/>
      <c r="BQ69" s="130"/>
      <c r="BR69" s="130"/>
      <c r="BS69" s="130"/>
      <c r="BT69" s="130"/>
      <c r="BU69" s="130"/>
      <c r="BV69" s="130"/>
      <c r="BW69" s="130"/>
      <c r="BX69" s="130"/>
      <c r="BY69" s="130"/>
      <c r="BZ69" s="130"/>
      <c r="CA69" s="130"/>
      <c r="CB69" s="130"/>
      <c r="CC69" s="130"/>
      <c r="CD69" s="130"/>
      <c r="CE69" s="130"/>
      <c r="CF69" s="130"/>
      <c r="CG69" s="130"/>
      <c r="CH69" s="130"/>
      <c r="CI69" s="130"/>
      <c r="CJ69" s="130"/>
      <c r="CK69" s="130"/>
      <c r="CL69" s="130"/>
      <c r="CM69" s="130"/>
      <c r="CN69" s="130"/>
      <c r="CO69" s="130"/>
      <c r="CP69" s="130"/>
      <c r="CQ69" s="130"/>
      <c r="CR69" s="130"/>
      <c r="CS69" s="130"/>
      <c r="CT69" s="130"/>
      <c r="CU69" s="130"/>
      <c r="CV69" s="130"/>
      <c r="CW69" s="130"/>
      <c r="CX69" s="130"/>
      <c r="CY69" s="130"/>
      <c r="CZ69" s="130"/>
      <c r="DA69" s="130"/>
      <c r="DB69" s="130"/>
      <c r="DC69" s="130"/>
      <c r="DD69" s="130"/>
      <c r="DE69" s="130"/>
      <c r="DF69" s="130"/>
      <c r="DG69" s="130"/>
      <c r="DH69" s="130"/>
      <c r="DI69" s="130"/>
      <c r="DJ69" s="130"/>
      <c r="DK69" s="130"/>
      <c r="DL69" s="130"/>
      <c r="DM69" s="130"/>
      <c r="DN69" s="130"/>
      <c r="DO69" s="130"/>
      <c r="DP69" s="130"/>
      <c r="DQ69" s="130"/>
      <c r="DR69" s="130"/>
      <c r="DS69" s="130"/>
      <c r="DT69" s="130"/>
      <c r="DU69" s="130"/>
      <c r="DV69" s="130"/>
      <c r="DW69" s="130"/>
      <c r="DX69" s="130"/>
      <c r="DY69" s="130"/>
      <c r="DZ69" s="130"/>
      <c r="EA69" s="130"/>
      <c r="EB69" s="130"/>
      <c r="EC69" s="130"/>
      <c r="ED69" s="130"/>
      <c r="EE69" s="130"/>
      <c r="EF69" s="130"/>
      <c r="EG69" s="130"/>
      <c r="EH69" s="130"/>
      <c r="EI69" s="130"/>
      <c r="EJ69" s="130"/>
      <c r="EK69" s="130"/>
      <c r="EL69" s="130"/>
      <c r="EM69" s="130"/>
      <c r="EN69" s="130"/>
      <c r="EO69" s="130"/>
      <c r="EP69" s="130"/>
      <c r="EQ69" s="130"/>
      <c r="ER69" s="130"/>
      <c r="ES69" s="130"/>
      <c r="ET69" s="130"/>
      <c r="EU69" s="130"/>
      <c r="EV69" s="130"/>
      <c r="EW69" s="130"/>
      <c r="EX69" s="130"/>
      <c r="EY69" s="130"/>
      <c r="EZ69" s="130"/>
      <c r="FA69" s="130"/>
      <c r="FB69" s="130"/>
      <c r="FC69" s="130"/>
      <c r="FD69" s="130"/>
      <c r="FE69" s="130"/>
      <c r="FF69" s="130"/>
      <c r="FG69" s="130"/>
      <c r="FH69" s="130"/>
      <c r="FI69" s="130"/>
      <c r="FJ69" s="130"/>
      <c r="FK69" s="130"/>
      <c r="FL69" s="130"/>
      <c r="FM69" s="130"/>
      <c r="FN69" s="130"/>
      <c r="FO69" s="130"/>
      <c r="FP69" s="130"/>
      <c r="FQ69" s="130"/>
      <c r="FR69" s="130"/>
      <c r="FS69" s="130"/>
      <c r="FT69" s="130"/>
      <c r="FU69" s="130"/>
      <c r="FV69" s="130"/>
      <c r="FW69" s="130"/>
      <c r="FX69" s="130"/>
      <c r="FY69" s="130"/>
      <c r="FZ69" s="130"/>
      <c r="GA69" s="130"/>
      <c r="GB69" s="130"/>
      <c r="GC69" s="130"/>
      <c r="GD69" s="130"/>
      <c r="GE69" s="130"/>
      <c r="GF69" s="130"/>
      <c r="GG69" s="130"/>
      <c r="GH69" s="130"/>
      <c r="GI69" s="130"/>
      <c r="GJ69" s="130"/>
      <c r="GK69" s="130"/>
      <c r="GL69" s="130"/>
      <c r="GM69" s="130"/>
      <c r="GN69" s="130"/>
      <c r="GO69" s="130"/>
      <c r="GP69" s="130"/>
      <c r="GQ69" s="130"/>
      <c r="GR69" s="130"/>
      <c r="GS69" s="130"/>
      <c r="GT69" s="130"/>
      <c r="GU69" s="130"/>
      <c r="GV69" s="130"/>
      <c r="GW69" s="130"/>
      <c r="GX69" s="130"/>
      <c r="GY69" s="130"/>
      <c r="GZ69" s="130"/>
      <c r="HA69" s="130"/>
      <c r="HB69" s="130"/>
      <c r="HC69" s="130"/>
      <c r="HD69" s="130"/>
      <c r="HE69" s="130"/>
      <c r="HF69" s="130"/>
      <c r="HG69" s="130"/>
      <c r="HH69" s="130"/>
      <c r="HI69" s="130"/>
      <c r="HJ69" s="130"/>
      <c r="HK69" s="130"/>
      <c r="HL69" s="130"/>
      <c r="HM69" s="130"/>
      <c r="HN69" s="130"/>
      <c r="HO69" s="130"/>
      <c r="HP69" s="130"/>
      <c r="HQ69" s="130"/>
      <c r="HR69" s="130"/>
      <c r="HS69" s="130"/>
      <c r="HT69" s="130"/>
      <c r="HU69" s="130"/>
      <c r="HV69" s="130"/>
      <c r="HW69" s="130"/>
      <c r="HX69" s="130"/>
      <c r="HY69" s="130"/>
      <c r="HZ69" s="130"/>
      <c r="IA69" s="130"/>
      <c r="IB69" s="130"/>
      <c r="IC69" s="130"/>
      <c r="ID69" s="130"/>
      <c r="IE69" s="130"/>
      <c r="IF69" s="130"/>
      <c r="IG69" s="130"/>
      <c r="IH69" s="130"/>
      <c r="II69" s="130"/>
      <c r="IJ69" s="130"/>
      <c r="IK69" s="130"/>
      <c r="IL69" s="130"/>
      <c r="IM69" s="130"/>
      <c r="IN69" s="130"/>
      <c r="IO69" s="130"/>
      <c r="IP69" s="130"/>
      <c r="IQ69" s="130"/>
      <c r="IR69" s="130"/>
      <c r="IS69" s="130"/>
      <c r="IT69" s="130"/>
      <c r="IU69" s="130"/>
    </row>
    <row r="70" spans="1:255" s="123" customFormat="1" ht="24.75" customHeight="1">
      <c r="A70" s="216"/>
      <c r="B70" s="217"/>
      <c r="C70" s="217"/>
      <c r="D70" s="217"/>
      <c r="E70" s="218"/>
      <c r="F70" s="218"/>
      <c r="G70" s="220"/>
      <c r="H70" s="220"/>
      <c r="I70" s="220"/>
      <c r="J70" s="220"/>
      <c r="K70" s="124"/>
      <c r="L70" s="214"/>
      <c r="M70" s="215"/>
      <c r="N70" s="215"/>
      <c r="O70" s="215"/>
      <c r="P70" s="215"/>
      <c r="Q70" s="215"/>
      <c r="R70" s="215"/>
      <c r="S70" s="215"/>
      <c r="T70" s="133" t="s">
        <v>399</v>
      </c>
      <c r="U70" s="129"/>
      <c r="V70" s="127"/>
      <c r="W70" s="125" t="str">
        <f>'[1]bang gia'!$C$46</f>
        <v>đồng/cây</v>
      </c>
      <c r="X70" s="120">
        <v>12</v>
      </c>
      <c r="Y70" s="98">
        <v>3000000</v>
      </c>
      <c r="Z70" s="124"/>
      <c r="AA70" s="121">
        <v>1</v>
      </c>
      <c r="AB70" s="122">
        <f t="shared" ref="AB70:AB75" si="4">X70*Y70*AA70</f>
        <v>36000000</v>
      </c>
      <c r="AC70" s="212"/>
      <c r="AD70" s="212"/>
      <c r="AE70" s="24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130"/>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30"/>
      <c r="CM70" s="130"/>
      <c r="CN70" s="130"/>
      <c r="CO70" s="130"/>
      <c r="CP70" s="130"/>
      <c r="CQ70" s="130"/>
      <c r="CR70" s="130"/>
      <c r="CS70" s="130"/>
      <c r="CT70" s="130"/>
      <c r="CU70" s="130"/>
      <c r="CV70" s="130"/>
      <c r="CW70" s="130"/>
      <c r="CX70" s="130"/>
      <c r="CY70" s="130"/>
      <c r="CZ70" s="130"/>
      <c r="DA70" s="130"/>
      <c r="DB70" s="130"/>
      <c r="DC70" s="130"/>
      <c r="DD70" s="130"/>
      <c r="DE70" s="130"/>
      <c r="DF70" s="130"/>
      <c r="DG70" s="130"/>
      <c r="DH70" s="130"/>
      <c r="DI70" s="130"/>
      <c r="DJ70" s="130"/>
      <c r="DK70" s="130"/>
      <c r="DL70" s="130"/>
      <c r="DM70" s="130"/>
      <c r="DN70" s="130"/>
      <c r="DO70" s="130"/>
      <c r="DP70" s="130"/>
      <c r="DQ70" s="130"/>
      <c r="DR70" s="130"/>
      <c r="DS70" s="130"/>
      <c r="DT70" s="130"/>
      <c r="DU70" s="130"/>
      <c r="DV70" s="130"/>
      <c r="DW70" s="130"/>
      <c r="DX70" s="130"/>
      <c r="DY70" s="130"/>
      <c r="DZ70" s="130"/>
      <c r="EA70" s="130"/>
      <c r="EB70" s="130"/>
      <c r="EC70" s="130"/>
      <c r="ED70" s="130"/>
      <c r="EE70" s="130"/>
      <c r="EF70" s="130"/>
      <c r="EG70" s="130"/>
      <c r="EH70" s="130"/>
      <c r="EI70" s="130"/>
      <c r="EJ70" s="130"/>
      <c r="EK70" s="130"/>
      <c r="EL70" s="130"/>
      <c r="EM70" s="130"/>
      <c r="EN70" s="130"/>
      <c r="EO70" s="130"/>
      <c r="EP70" s="130"/>
      <c r="EQ70" s="130"/>
      <c r="ER70" s="130"/>
      <c r="ES70" s="130"/>
      <c r="ET70" s="130"/>
      <c r="EU70" s="130"/>
      <c r="EV70" s="130"/>
      <c r="EW70" s="130"/>
      <c r="EX70" s="130"/>
      <c r="EY70" s="130"/>
      <c r="EZ70" s="130"/>
      <c r="FA70" s="130"/>
      <c r="FB70" s="130"/>
      <c r="FC70" s="130"/>
      <c r="FD70" s="130"/>
      <c r="FE70" s="130"/>
      <c r="FF70" s="130"/>
      <c r="FG70" s="130"/>
      <c r="FH70" s="130"/>
      <c r="FI70" s="130"/>
      <c r="FJ70" s="130"/>
      <c r="FK70" s="130"/>
      <c r="FL70" s="130"/>
      <c r="FM70" s="130"/>
      <c r="FN70" s="130"/>
      <c r="FO70" s="130"/>
      <c r="FP70" s="130"/>
      <c r="FQ70" s="130"/>
      <c r="FR70" s="130"/>
      <c r="FS70" s="130"/>
      <c r="FT70" s="130"/>
      <c r="FU70" s="130"/>
      <c r="FV70" s="130"/>
      <c r="FW70" s="130"/>
      <c r="FX70" s="130"/>
      <c r="FY70" s="130"/>
      <c r="FZ70" s="130"/>
      <c r="GA70" s="130"/>
      <c r="GB70" s="130"/>
      <c r="GC70" s="130"/>
      <c r="GD70" s="130"/>
      <c r="GE70" s="130"/>
      <c r="GF70" s="130"/>
      <c r="GG70" s="130"/>
      <c r="GH70" s="130"/>
      <c r="GI70" s="130"/>
      <c r="GJ70" s="130"/>
      <c r="GK70" s="130"/>
      <c r="GL70" s="130"/>
      <c r="GM70" s="130"/>
      <c r="GN70" s="130"/>
      <c r="GO70" s="130"/>
      <c r="GP70" s="130"/>
      <c r="GQ70" s="130"/>
      <c r="GR70" s="130"/>
      <c r="GS70" s="130"/>
      <c r="GT70" s="130"/>
      <c r="GU70" s="130"/>
      <c r="GV70" s="130"/>
      <c r="GW70" s="130"/>
      <c r="GX70" s="130"/>
      <c r="GY70" s="130"/>
      <c r="GZ70" s="130"/>
      <c r="HA70" s="130"/>
      <c r="HB70" s="130"/>
      <c r="HC70" s="130"/>
      <c r="HD70" s="130"/>
      <c r="HE70" s="130"/>
      <c r="HF70" s="130"/>
      <c r="HG70" s="130"/>
      <c r="HH70" s="130"/>
      <c r="HI70" s="130"/>
      <c r="HJ70" s="130"/>
      <c r="HK70" s="130"/>
      <c r="HL70" s="130"/>
      <c r="HM70" s="130"/>
      <c r="HN70" s="130"/>
      <c r="HO70" s="130"/>
      <c r="HP70" s="130"/>
      <c r="HQ70" s="130"/>
      <c r="HR70" s="130"/>
      <c r="HS70" s="130"/>
      <c r="HT70" s="130"/>
      <c r="HU70" s="130"/>
      <c r="HV70" s="130"/>
      <c r="HW70" s="130"/>
      <c r="HX70" s="130"/>
      <c r="HY70" s="130"/>
      <c r="HZ70" s="130"/>
      <c r="IA70" s="130"/>
      <c r="IB70" s="130"/>
      <c r="IC70" s="130"/>
      <c r="ID70" s="130"/>
      <c r="IE70" s="130"/>
      <c r="IF70" s="130"/>
      <c r="IG70" s="130"/>
      <c r="IH70" s="130"/>
      <c r="II70" s="130"/>
      <c r="IJ70" s="130"/>
      <c r="IK70" s="130"/>
      <c r="IL70" s="130"/>
      <c r="IM70" s="130"/>
      <c r="IN70" s="130"/>
      <c r="IO70" s="130"/>
      <c r="IP70" s="130"/>
      <c r="IQ70" s="130"/>
      <c r="IR70" s="130"/>
      <c r="IS70" s="130"/>
      <c r="IT70" s="130"/>
      <c r="IU70" s="130"/>
    </row>
    <row r="71" spans="1:255" s="123" customFormat="1" ht="46.5" customHeight="1">
      <c r="A71" s="216"/>
      <c r="B71" s="217"/>
      <c r="C71" s="217"/>
      <c r="D71" s="217"/>
      <c r="E71" s="218"/>
      <c r="F71" s="218"/>
      <c r="G71" s="220"/>
      <c r="H71" s="220"/>
      <c r="I71" s="220"/>
      <c r="J71" s="220"/>
      <c r="K71" s="124"/>
      <c r="L71" s="214"/>
      <c r="M71" s="215"/>
      <c r="N71" s="215"/>
      <c r="O71" s="215"/>
      <c r="P71" s="215"/>
      <c r="Q71" s="215"/>
      <c r="R71" s="215"/>
      <c r="S71" s="215"/>
      <c r="T71" s="94" t="s">
        <v>527</v>
      </c>
      <c r="U71" s="129"/>
      <c r="V71" s="125"/>
      <c r="W71" s="125" t="str">
        <f>'[1]bang gia'!$C$46</f>
        <v>đồng/cây</v>
      </c>
      <c r="X71" s="120">
        <v>16</v>
      </c>
      <c r="Y71" s="98"/>
      <c r="Z71" s="124"/>
      <c r="AA71" s="121"/>
      <c r="AB71" s="122"/>
      <c r="AC71" s="212"/>
      <c r="AD71" s="212"/>
      <c r="AE71" s="240"/>
    </row>
    <row r="72" spans="1:255" s="123" customFormat="1" ht="21.75" customHeight="1">
      <c r="A72" s="216"/>
      <c r="B72" s="217"/>
      <c r="C72" s="217"/>
      <c r="D72" s="217"/>
      <c r="E72" s="218"/>
      <c r="F72" s="218"/>
      <c r="G72" s="220"/>
      <c r="H72" s="220"/>
      <c r="I72" s="220"/>
      <c r="J72" s="220"/>
      <c r="K72" s="124"/>
      <c r="L72" s="214"/>
      <c r="M72" s="215"/>
      <c r="N72" s="215"/>
      <c r="O72" s="215"/>
      <c r="P72" s="215"/>
      <c r="Q72" s="215"/>
      <c r="R72" s="215"/>
      <c r="S72" s="215"/>
      <c r="T72" s="133" t="s">
        <v>399</v>
      </c>
      <c r="U72" s="129"/>
      <c r="V72" s="125"/>
      <c r="W72" s="125" t="str">
        <f>'[1]bang gia'!$C$46</f>
        <v>đồng/cây</v>
      </c>
      <c r="X72" s="120">
        <v>7</v>
      </c>
      <c r="Y72" s="98">
        <v>2500000</v>
      </c>
      <c r="Z72" s="124"/>
      <c r="AA72" s="121">
        <v>1</v>
      </c>
      <c r="AB72" s="122">
        <f t="shared" si="4"/>
        <v>17500000</v>
      </c>
      <c r="AC72" s="212"/>
      <c r="AD72" s="212"/>
    </row>
    <row r="73" spans="1:255" s="123" customFormat="1" ht="21.75" customHeight="1">
      <c r="A73" s="216"/>
      <c r="B73" s="217"/>
      <c r="C73" s="217"/>
      <c r="D73" s="217"/>
      <c r="E73" s="218"/>
      <c r="F73" s="218"/>
      <c r="G73" s="220"/>
      <c r="H73" s="220"/>
      <c r="I73" s="220"/>
      <c r="J73" s="220"/>
      <c r="K73" s="124"/>
      <c r="L73" s="214"/>
      <c r="M73" s="215"/>
      <c r="N73" s="215"/>
      <c r="O73" s="215"/>
      <c r="P73" s="215"/>
      <c r="Q73" s="215"/>
      <c r="R73" s="215"/>
      <c r="S73" s="215"/>
      <c r="T73" s="133" t="s">
        <v>401</v>
      </c>
      <c r="U73" s="129"/>
      <c r="V73" s="120">
        <f>19*0.3</f>
        <v>5.7</v>
      </c>
      <c r="W73" s="125" t="str">
        <f>'[1]bang gia'!$C$46</f>
        <v>đồng/cây</v>
      </c>
      <c r="X73" s="120">
        <v>6</v>
      </c>
      <c r="Y73" s="98">
        <v>2500000</v>
      </c>
      <c r="Z73" s="124"/>
      <c r="AA73" s="121">
        <v>0.5</v>
      </c>
      <c r="AB73" s="122">
        <f t="shared" si="4"/>
        <v>7500000</v>
      </c>
      <c r="AC73" s="212"/>
      <c r="AD73" s="212"/>
    </row>
    <row r="74" spans="1:255" s="123" customFormat="1" ht="21.75" customHeight="1">
      <c r="A74" s="216"/>
      <c r="B74" s="217"/>
      <c r="C74" s="217"/>
      <c r="D74" s="217"/>
      <c r="E74" s="218"/>
      <c r="F74" s="218"/>
      <c r="G74" s="220"/>
      <c r="H74" s="220"/>
      <c r="I74" s="220"/>
      <c r="J74" s="220"/>
      <c r="K74" s="124"/>
      <c r="L74" s="214"/>
      <c r="M74" s="215"/>
      <c r="N74" s="215"/>
      <c r="O74" s="215"/>
      <c r="P74" s="215"/>
      <c r="Q74" s="215"/>
      <c r="R74" s="215"/>
      <c r="S74" s="215"/>
      <c r="T74" s="133" t="s">
        <v>402</v>
      </c>
      <c r="U74" s="129"/>
      <c r="V74" s="125"/>
      <c r="W74" s="125" t="str">
        <f>'[1]bang gia'!$C$46</f>
        <v>đồng/cây</v>
      </c>
      <c r="X74" s="120">
        <f>X71-X72-X73</f>
        <v>3</v>
      </c>
      <c r="Y74" s="98">
        <v>2500000</v>
      </c>
      <c r="Z74" s="124"/>
      <c r="AA74" s="121">
        <v>0</v>
      </c>
      <c r="AB74" s="122">
        <f t="shared" si="4"/>
        <v>0</v>
      </c>
      <c r="AC74" s="212"/>
      <c r="AD74" s="212"/>
    </row>
    <row r="75" spans="1:255" s="123" customFormat="1" ht="21.75" customHeight="1">
      <c r="A75" s="216"/>
      <c r="B75" s="217"/>
      <c r="C75" s="217"/>
      <c r="D75" s="217"/>
      <c r="E75" s="218"/>
      <c r="F75" s="218"/>
      <c r="G75" s="220"/>
      <c r="H75" s="220"/>
      <c r="I75" s="220"/>
      <c r="J75" s="220"/>
      <c r="K75" s="124"/>
      <c r="L75" s="214"/>
      <c r="M75" s="215"/>
      <c r="N75" s="215"/>
      <c r="O75" s="215"/>
      <c r="P75" s="215"/>
      <c r="Q75" s="215"/>
      <c r="R75" s="215"/>
      <c r="S75" s="215"/>
      <c r="T75" s="94" t="s">
        <v>531</v>
      </c>
      <c r="U75" s="129"/>
      <c r="V75" s="125"/>
      <c r="W75" s="118" t="s">
        <v>0</v>
      </c>
      <c r="X75" s="122">
        <v>250</v>
      </c>
      <c r="Y75" s="98">
        <v>30000</v>
      </c>
      <c r="Z75" s="124"/>
      <c r="AA75" s="121">
        <v>1</v>
      </c>
      <c r="AB75" s="122">
        <f t="shared" si="4"/>
        <v>7500000</v>
      </c>
      <c r="AC75" s="212"/>
      <c r="AD75" s="212"/>
    </row>
    <row r="76" spans="1:255" s="123" customFormat="1" ht="42" customHeight="1">
      <c r="A76" s="216"/>
      <c r="B76" s="217"/>
      <c r="C76" s="217"/>
      <c r="D76" s="217"/>
      <c r="E76" s="218"/>
      <c r="F76" s="218"/>
      <c r="G76" s="220"/>
      <c r="H76" s="220"/>
      <c r="I76" s="220"/>
      <c r="J76" s="220"/>
      <c r="K76" s="124"/>
      <c r="L76" s="214"/>
      <c r="M76" s="215"/>
      <c r="N76" s="215"/>
      <c r="O76" s="215"/>
      <c r="P76" s="215"/>
      <c r="Q76" s="215"/>
      <c r="R76" s="215"/>
      <c r="S76" s="215"/>
      <c r="T76" s="140" t="s">
        <v>532</v>
      </c>
      <c r="U76" s="96"/>
      <c r="V76" s="125"/>
      <c r="W76" s="96" t="s">
        <v>522</v>
      </c>
      <c r="X76" s="120">
        <v>24</v>
      </c>
      <c r="Y76" s="120"/>
      <c r="Z76" s="124"/>
      <c r="AA76" s="121">
        <v>0</v>
      </c>
      <c r="AB76" s="120">
        <v>0</v>
      </c>
      <c r="AC76" s="212"/>
      <c r="AD76" s="212"/>
    </row>
    <row r="77" spans="1:255" s="123" customFormat="1" ht="21.75" customHeight="1">
      <c r="A77" s="216"/>
      <c r="B77" s="217"/>
      <c r="C77" s="217"/>
      <c r="D77" s="217"/>
      <c r="E77" s="218"/>
      <c r="F77" s="218"/>
      <c r="G77" s="220"/>
      <c r="H77" s="220"/>
      <c r="I77" s="220"/>
      <c r="J77" s="220"/>
      <c r="K77" s="124"/>
      <c r="L77" s="214"/>
      <c r="M77" s="215"/>
      <c r="N77" s="215"/>
      <c r="O77" s="215"/>
      <c r="P77" s="215"/>
      <c r="Q77" s="215"/>
      <c r="R77" s="215"/>
      <c r="S77" s="215"/>
      <c r="T77" s="94" t="s">
        <v>533</v>
      </c>
      <c r="U77" s="129"/>
      <c r="V77" s="125"/>
      <c r="W77" s="125" t="s">
        <v>6</v>
      </c>
      <c r="X77" s="122" t="s">
        <v>534</v>
      </c>
      <c r="Y77" s="120"/>
      <c r="Z77" s="124"/>
      <c r="AA77" s="121">
        <v>0</v>
      </c>
      <c r="AB77" s="120">
        <v>0</v>
      </c>
      <c r="AC77" s="212"/>
      <c r="AD77" s="212"/>
    </row>
    <row r="78" spans="1:255" s="123" customFormat="1" ht="37.5" customHeight="1">
      <c r="A78" s="216"/>
      <c r="B78" s="217"/>
      <c r="C78" s="217"/>
      <c r="D78" s="217"/>
      <c r="E78" s="218"/>
      <c r="F78" s="218"/>
      <c r="G78" s="220"/>
      <c r="H78" s="220"/>
      <c r="I78" s="220"/>
      <c r="J78" s="220"/>
      <c r="K78" s="124"/>
      <c r="L78" s="214"/>
      <c r="M78" s="215"/>
      <c r="N78" s="215"/>
      <c r="O78" s="215"/>
      <c r="P78" s="215"/>
      <c r="Q78" s="215"/>
      <c r="R78" s="215"/>
      <c r="S78" s="215"/>
      <c r="T78" s="94" t="s">
        <v>535</v>
      </c>
      <c r="U78" s="129"/>
      <c r="V78" s="125">
        <v>6</v>
      </c>
      <c r="W78" s="125" t="s">
        <v>6</v>
      </c>
      <c r="X78" s="120">
        <v>6</v>
      </c>
      <c r="Y78" s="120"/>
      <c r="Z78" s="124"/>
      <c r="AA78" s="121">
        <v>0</v>
      </c>
      <c r="AB78" s="120">
        <v>0</v>
      </c>
      <c r="AC78" s="212"/>
      <c r="AD78" s="212"/>
    </row>
    <row r="79" spans="1:255" s="123" customFormat="1" ht="26.25" customHeight="1">
      <c r="A79" s="216"/>
      <c r="B79" s="217"/>
      <c r="C79" s="217"/>
      <c r="D79" s="217"/>
      <c r="E79" s="218"/>
      <c r="F79" s="218"/>
      <c r="G79" s="220"/>
      <c r="H79" s="220"/>
      <c r="I79" s="220"/>
      <c r="J79" s="220"/>
      <c r="K79" s="124"/>
      <c r="L79" s="214"/>
      <c r="M79" s="215"/>
      <c r="N79" s="215"/>
      <c r="O79" s="215"/>
      <c r="P79" s="215"/>
      <c r="Q79" s="215"/>
      <c r="R79" s="215"/>
      <c r="S79" s="215"/>
      <c r="T79" s="126" t="s">
        <v>536</v>
      </c>
      <c r="U79" s="112"/>
      <c r="V79" s="125"/>
      <c r="W79" s="125" t="s">
        <v>501</v>
      </c>
      <c r="X79" s="134">
        <v>2.2400000000000002</v>
      </c>
      <c r="Y79" s="120"/>
      <c r="Z79" s="124"/>
      <c r="AA79" s="121">
        <v>0</v>
      </c>
      <c r="AB79" s="120">
        <v>0</v>
      </c>
      <c r="AC79" s="212"/>
      <c r="AD79" s="212"/>
    </row>
    <row r="80" spans="1:255" s="123" customFormat="1" ht="21.75" customHeight="1">
      <c r="A80" s="216"/>
      <c r="B80" s="217"/>
      <c r="C80" s="217"/>
      <c r="D80" s="217"/>
      <c r="E80" s="218"/>
      <c r="F80" s="218"/>
      <c r="G80" s="220"/>
      <c r="H80" s="220"/>
      <c r="I80" s="220"/>
      <c r="J80" s="220"/>
      <c r="K80" s="124"/>
      <c r="L80" s="214"/>
      <c r="M80" s="215"/>
      <c r="N80" s="215"/>
      <c r="O80" s="215"/>
      <c r="P80" s="215"/>
      <c r="Q80" s="215"/>
      <c r="R80" s="215"/>
      <c r="S80" s="215"/>
      <c r="T80" s="94" t="s">
        <v>537</v>
      </c>
      <c r="U80" s="129"/>
      <c r="V80" s="125"/>
      <c r="W80" s="125" t="s">
        <v>501</v>
      </c>
      <c r="X80" s="120"/>
      <c r="Y80" s="120"/>
      <c r="Z80" s="124"/>
      <c r="AA80" s="121">
        <v>0</v>
      </c>
      <c r="AB80" s="120">
        <v>0</v>
      </c>
      <c r="AC80" s="212"/>
      <c r="AD80" s="212"/>
    </row>
    <row r="81" spans="1:255" s="123" customFormat="1" ht="21.75" customHeight="1">
      <c r="A81" s="216"/>
      <c r="B81" s="217"/>
      <c r="C81" s="217"/>
      <c r="D81" s="217"/>
      <c r="E81" s="218"/>
      <c r="F81" s="218"/>
      <c r="G81" s="220"/>
      <c r="H81" s="220"/>
      <c r="I81" s="220"/>
      <c r="J81" s="220"/>
      <c r="K81" s="124"/>
      <c r="L81" s="214"/>
      <c r="M81" s="215"/>
      <c r="N81" s="215"/>
      <c r="O81" s="215"/>
      <c r="P81" s="215"/>
      <c r="Q81" s="215"/>
      <c r="R81" s="215"/>
      <c r="S81" s="215"/>
      <c r="T81" s="94" t="s">
        <v>538</v>
      </c>
      <c r="U81" s="129"/>
      <c r="V81" s="125"/>
      <c r="W81" s="96" t="s">
        <v>6</v>
      </c>
      <c r="X81" s="122" t="s">
        <v>539</v>
      </c>
      <c r="Y81" s="97"/>
      <c r="Z81" s="124"/>
      <c r="AA81" s="121">
        <v>0</v>
      </c>
      <c r="AB81" s="120">
        <v>0</v>
      </c>
      <c r="AC81" s="212"/>
      <c r="AD81" s="212"/>
    </row>
    <row r="82" spans="1:255" s="123" customFormat="1" ht="21.75" customHeight="1">
      <c r="A82" s="216"/>
      <c r="B82" s="217"/>
      <c r="C82" s="217"/>
      <c r="D82" s="217"/>
      <c r="E82" s="218"/>
      <c r="F82" s="218"/>
      <c r="G82" s="220"/>
      <c r="H82" s="220"/>
      <c r="I82" s="220"/>
      <c r="J82" s="220"/>
      <c r="K82" s="124"/>
      <c r="L82" s="214"/>
      <c r="M82" s="215"/>
      <c r="N82" s="215"/>
      <c r="O82" s="215"/>
      <c r="P82" s="215"/>
      <c r="Q82" s="215"/>
      <c r="R82" s="215"/>
      <c r="S82" s="215"/>
      <c r="T82" s="140" t="s">
        <v>540</v>
      </c>
      <c r="U82" s="96"/>
      <c r="V82" s="125"/>
      <c r="W82" s="96" t="s">
        <v>6</v>
      </c>
      <c r="X82" s="122" t="s">
        <v>541</v>
      </c>
      <c r="Y82" s="97"/>
      <c r="Z82" s="124"/>
      <c r="AA82" s="121">
        <v>0</v>
      </c>
      <c r="AB82" s="120">
        <v>0</v>
      </c>
      <c r="AC82" s="212"/>
      <c r="AD82" s="212"/>
    </row>
    <row r="83" spans="1:255" s="123" customFormat="1" ht="21.75" customHeight="1">
      <c r="A83" s="216"/>
      <c r="B83" s="217"/>
      <c r="C83" s="217"/>
      <c r="D83" s="217"/>
      <c r="E83" s="218"/>
      <c r="F83" s="218"/>
      <c r="G83" s="220"/>
      <c r="H83" s="220"/>
      <c r="I83" s="220"/>
      <c r="J83" s="220"/>
      <c r="K83" s="124"/>
      <c r="L83" s="214"/>
      <c r="M83" s="215"/>
      <c r="N83" s="215"/>
      <c r="O83" s="215"/>
      <c r="P83" s="215"/>
      <c r="Q83" s="215"/>
      <c r="R83" s="215"/>
      <c r="S83" s="215"/>
      <c r="T83" s="126" t="s">
        <v>542</v>
      </c>
      <c r="U83" s="112"/>
      <c r="V83" s="112"/>
      <c r="W83" s="112" t="s">
        <v>395</v>
      </c>
      <c r="X83" s="122">
        <v>1</v>
      </c>
      <c r="Y83" s="120"/>
      <c r="Z83" s="124"/>
      <c r="AA83" s="121">
        <v>0</v>
      </c>
      <c r="AB83" s="122">
        <f t="shared" ref="AB83:AB89" si="5">X83*Y83*AA83</f>
        <v>0</v>
      </c>
      <c r="AC83" s="212"/>
      <c r="AD83" s="212"/>
    </row>
    <row r="84" spans="1:255" s="123" customFormat="1" ht="42.75" customHeight="1">
      <c r="A84" s="216">
        <v>6</v>
      </c>
      <c r="B84" s="221" t="s">
        <v>543</v>
      </c>
      <c r="C84" s="217">
        <v>62</v>
      </c>
      <c r="D84" s="217">
        <v>475</v>
      </c>
      <c r="E84" s="218">
        <v>652.5</v>
      </c>
      <c r="F84" s="218" t="s">
        <v>26</v>
      </c>
      <c r="G84" s="219">
        <v>648</v>
      </c>
      <c r="H84" s="220">
        <f>E84-G84</f>
        <v>4.5</v>
      </c>
      <c r="I84" s="219">
        <v>648</v>
      </c>
      <c r="J84" s="213">
        <v>1296</v>
      </c>
      <c r="K84" s="124"/>
      <c r="L84" s="214">
        <f>(I100+I84)/J84*100</f>
        <v>100</v>
      </c>
      <c r="M84" s="215">
        <f>IF(L84&lt;10,2,IF(L84&lt;20,3,IF(L84&lt;30,5,IF(L84&gt;=70,12,IF(L84&gt;=30,6)))))</f>
        <v>12</v>
      </c>
      <c r="N84" s="215">
        <v>3</v>
      </c>
      <c r="O84" s="215">
        <f>$O$6</f>
        <v>80000</v>
      </c>
      <c r="P84" s="215">
        <f>(I100+I84)*O84</f>
        <v>103680000</v>
      </c>
      <c r="Q84" s="215">
        <f>$Q$6*(I100+I84)</f>
        <v>311040000</v>
      </c>
      <c r="R84" s="215">
        <f>M84*N84*$R$6</f>
        <v>18360000</v>
      </c>
      <c r="S84" s="215">
        <f>R84+Q84+P84</f>
        <v>433080000</v>
      </c>
      <c r="T84" s="94" t="s">
        <v>530</v>
      </c>
      <c r="U84" s="129">
        <v>20</v>
      </c>
      <c r="V84" s="127">
        <f>(I84-2)/U84</f>
        <v>32.299999999999997</v>
      </c>
      <c r="W84" s="125" t="str">
        <f>'[1]bang gia'!$C$46</f>
        <v>đồng/cây</v>
      </c>
      <c r="X84" s="120">
        <v>23</v>
      </c>
      <c r="Y84" s="98"/>
      <c r="Z84" s="124"/>
      <c r="AA84" s="121"/>
      <c r="AB84" s="122"/>
      <c r="AC84" s="138"/>
      <c r="AD84" s="212">
        <f>AC100+AC85+S84</f>
        <v>676680000</v>
      </c>
      <c r="AE84" s="239" t="s">
        <v>492</v>
      </c>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c r="BB84" s="130"/>
      <c r="BC84" s="130"/>
      <c r="BD84" s="130"/>
      <c r="BE84" s="130"/>
      <c r="BF84" s="130"/>
      <c r="BG84" s="130"/>
      <c r="BH84" s="130"/>
      <c r="BI84" s="130"/>
      <c r="BJ84" s="130"/>
      <c r="BK84" s="130"/>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c r="EG84" s="130"/>
      <c r="EH84" s="130"/>
      <c r="EI84" s="130"/>
      <c r="EJ84" s="130"/>
      <c r="EK84" s="130"/>
      <c r="EL84" s="130"/>
      <c r="EM84" s="130"/>
      <c r="EN84" s="130"/>
      <c r="EO84" s="130"/>
      <c r="EP84" s="130"/>
      <c r="EQ84" s="130"/>
      <c r="ER84" s="130"/>
      <c r="ES84" s="130"/>
      <c r="ET84" s="130"/>
      <c r="EU84" s="130"/>
      <c r="EV84" s="130"/>
      <c r="EW84" s="130"/>
      <c r="EX84" s="130"/>
      <c r="EY84" s="130"/>
      <c r="EZ84" s="130"/>
      <c r="FA84" s="130"/>
      <c r="FB84" s="130"/>
      <c r="FC84" s="130"/>
      <c r="FD84" s="130"/>
      <c r="FE84" s="130"/>
      <c r="FF84" s="130"/>
      <c r="FG84" s="130"/>
      <c r="FH84" s="130"/>
      <c r="FI84" s="130"/>
      <c r="FJ84" s="130"/>
      <c r="FK84" s="130"/>
      <c r="FL84" s="130"/>
      <c r="FM84" s="130"/>
      <c r="FN84" s="130"/>
      <c r="FO84" s="130"/>
      <c r="FP84" s="130"/>
      <c r="FQ84" s="130"/>
      <c r="FR84" s="130"/>
      <c r="FS84" s="130"/>
      <c r="FT84" s="130"/>
      <c r="FU84" s="130"/>
      <c r="FV84" s="130"/>
      <c r="FW84" s="130"/>
      <c r="FX84" s="130"/>
      <c r="FY84" s="130"/>
      <c r="FZ84" s="130"/>
      <c r="GA84" s="130"/>
      <c r="GB84" s="130"/>
      <c r="GC84" s="130"/>
      <c r="GD84" s="130"/>
      <c r="GE84" s="130"/>
      <c r="GF84" s="130"/>
      <c r="GG84" s="130"/>
      <c r="GH84" s="130"/>
      <c r="GI84" s="130"/>
      <c r="GJ84" s="130"/>
      <c r="GK84" s="130"/>
      <c r="GL84" s="130"/>
      <c r="GM84" s="130"/>
      <c r="GN84" s="130"/>
      <c r="GO84" s="130"/>
      <c r="GP84" s="130"/>
      <c r="GQ84" s="130"/>
      <c r="GR84" s="130"/>
      <c r="GS84" s="130"/>
      <c r="GT84" s="130"/>
      <c r="GU84" s="130"/>
      <c r="GV84" s="130"/>
      <c r="GW84" s="130"/>
      <c r="GX84" s="130"/>
      <c r="GY84" s="130"/>
      <c r="GZ84" s="130"/>
      <c r="HA84" s="130"/>
      <c r="HB84" s="130"/>
      <c r="HC84" s="130"/>
      <c r="HD84" s="130"/>
      <c r="HE84" s="130"/>
      <c r="HF84" s="130"/>
      <c r="HG84" s="130"/>
      <c r="HH84" s="130"/>
      <c r="HI84" s="130"/>
      <c r="HJ84" s="130"/>
      <c r="HK84" s="130"/>
      <c r="HL84" s="130"/>
      <c r="HM84" s="130"/>
      <c r="HN84" s="130"/>
      <c r="HO84" s="130"/>
      <c r="HP84" s="130"/>
      <c r="HQ84" s="130"/>
      <c r="HR84" s="130"/>
      <c r="HS84" s="130"/>
      <c r="HT84" s="130"/>
      <c r="HU84" s="130"/>
      <c r="HV84" s="130"/>
      <c r="HW84" s="130"/>
      <c r="HX84" s="130"/>
      <c r="HY84" s="130"/>
      <c r="HZ84" s="130"/>
      <c r="IA84" s="130"/>
      <c r="IB84" s="130"/>
      <c r="IC84" s="130"/>
      <c r="ID84" s="130"/>
      <c r="IE84" s="130"/>
      <c r="IF84" s="130"/>
      <c r="IG84" s="130"/>
      <c r="IH84" s="130"/>
      <c r="II84" s="130"/>
      <c r="IJ84" s="130"/>
      <c r="IK84" s="130"/>
      <c r="IL84" s="130"/>
      <c r="IM84" s="130"/>
      <c r="IN84" s="130"/>
      <c r="IO84" s="130"/>
      <c r="IP84" s="130"/>
      <c r="IQ84" s="130"/>
      <c r="IR84" s="130"/>
      <c r="IS84" s="130"/>
      <c r="IT84" s="130"/>
      <c r="IU84" s="130"/>
    </row>
    <row r="85" spans="1:255" s="123" customFormat="1" ht="30" customHeight="1">
      <c r="A85" s="216"/>
      <c r="B85" s="221"/>
      <c r="C85" s="217"/>
      <c r="D85" s="217"/>
      <c r="E85" s="218"/>
      <c r="F85" s="218"/>
      <c r="G85" s="219"/>
      <c r="H85" s="220"/>
      <c r="I85" s="219"/>
      <c r="J85" s="213"/>
      <c r="K85" s="124"/>
      <c r="L85" s="214"/>
      <c r="M85" s="215"/>
      <c r="N85" s="215"/>
      <c r="O85" s="215"/>
      <c r="P85" s="215"/>
      <c r="Q85" s="215"/>
      <c r="R85" s="215"/>
      <c r="S85" s="215"/>
      <c r="T85" s="133" t="s">
        <v>399</v>
      </c>
      <c r="U85" s="129"/>
      <c r="V85" s="127"/>
      <c r="W85" s="125" t="str">
        <f>'[1]bang gia'!$C$46</f>
        <v>đồng/cây</v>
      </c>
      <c r="X85" s="120">
        <v>23</v>
      </c>
      <c r="Y85" s="98">
        <v>3000000</v>
      </c>
      <c r="Z85" s="124"/>
      <c r="AA85" s="121">
        <v>1</v>
      </c>
      <c r="AB85" s="122">
        <f t="shared" si="5"/>
        <v>69000000</v>
      </c>
      <c r="AC85" s="212">
        <f>SUM(AB85:AB99)</f>
        <v>104400000</v>
      </c>
      <c r="AD85" s="212"/>
      <c r="AE85" s="240"/>
      <c r="AF85" s="130"/>
      <c r="AG85" s="130"/>
      <c r="AH85" s="130"/>
      <c r="AI85" s="130"/>
      <c r="AJ85" s="130"/>
      <c r="AK85" s="130"/>
      <c r="AL85" s="130"/>
      <c r="AM85" s="130"/>
      <c r="AN85" s="130"/>
      <c r="AO85" s="130"/>
      <c r="AP85" s="130"/>
      <c r="AQ85" s="130"/>
      <c r="AR85" s="130"/>
      <c r="AS85" s="130"/>
      <c r="AT85" s="130"/>
      <c r="AU85" s="130"/>
      <c r="AV85" s="130"/>
      <c r="AW85" s="130"/>
      <c r="AX85" s="130"/>
      <c r="AY85" s="130"/>
      <c r="AZ85" s="130"/>
      <c r="BA85" s="130"/>
      <c r="BB85" s="130"/>
      <c r="BC85" s="130"/>
      <c r="BD85" s="130"/>
      <c r="BE85" s="130"/>
      <c r="BF85" s="130"/>
      <c r="BG85" s="130"/>
      <c r="BH85" s="130"/>
      <c r="BI85" s="130"/>
      <c r="BJ85" s="130"/>
      <c r="BK85" s="130"/>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c r="EG85" s="130"/>
      <c r="EH85" s="130"/>
      <c r="EI85" s="130"/>
      <c r="EJ85" s="130"/>
      <c r="EK85" s="130"/>
      <c r="EL85" s="130"/>
      <c r="EM85" s="130"/>
      <c r="EN85" s="130"/>
      <c r="EO85" s="130"/>
      <c r="EP85" s="130"/>
      <c r="EQ85" s="130"/>
      <c r="ER85" s="130"/>
      <c r="ES85" s="130"/>
      <c r="ET85" s="130"/>
      <c r="EU85" s="130"/>
      <c r="EV85" s="130"/>
      <c r="EW85" s="130"/>
      <c r="EX85" s="130"/>
      <c r="EY85" s="130"/>
      <c r="EZ85" s="130"/>
      <c r="FA85" s="130"/>
      <c r="FB85" s="130"/>
      <c r="FC85" s="130"/>
      <c r="FD85" s="130"/>
      <c r="FE85" s="130"/>
      <c r="FF85" s="130"/>
      <c r="FG85" s="130"/>
      <c r="FH85" s="130"/>
      <c r="FI85" s="130"/>
      <c r="FJ85" s="130"/>
      <c r="FK85" s="130"/>
      <c r="FL85" s="130"/>
      <c r="FM85" s="130"/>
      <c r="FN85" s="130"/>
      <c r="FO85" s="130"/>
      <c r="FP85" s="130"/>
      <c r="FQ85" s="130"/>
      <c r="FR85" s="130"/>
      <c r="FS85" s="130"/>
      <c r="FT85" s="130"/>
      <c r="FU85" s="130"/>
      <c r="FV85" s="130"/>
      <c r="FW85" s="130"/>
      <c r="FX85" s="130"/>
      <c r="FY85" s="130"/>
      <c r="FZ85" s="130"/>
      <c r="GA85" s="130"/>
      <c r="GB85" s="130"/>
      <c r="GC85" s="130"/>
      <c r="GD85" s="130"/>
      <c r="GE85" s="130"/>
      <c r="GF85" s="130"/>
      <c r="GG85" s="130"/>
      <c r="GH85" s="130"/>
      <c r="GI85" s="130"/>
      <c r="GJ85" s="130"/>
      <c r="GK85" s="130"/>
      <c r="GL85" s="130"/>
      <c r="GM85" s="130"/>
      <c r="GN85" s="130"/>
      <c r="GO85" s="130"/>
      <c r="GP85" s="130"/>
      <c r="GQ85" s="130"/>
      <c r="GR85" s="130"/>
      <c r="GS85" s="130"/>
      <c r="GT85" s="130"/>
      <c r="GU85" s="130"/>
      <c r="GV85" s="130"/>
      <c r="GW85" s="130"/>
      <c r="GX85" s="130"/>
      <c r="GY85" s="130"/>
      <c r="GZ85" s="130"/>
      <c r="HA85" s="130"/>
      <c r="HB85" s="130"/>
      <c r="HC85" s="130"/>
      <c r="HD85" s="130"/>
      <c r="HE85" s="130"/>
      <c r="HF85" s="130"/>
      <c r="HG85" s="130"/>
      <c r="HH85" s="130"/>
      <c r="HI85" s="130"/>
      <c r="HJ85" s="130"/>
      <c r="HK85" s="130"/>
      <c r="HL85" s="130"/>
      <c r="HM85" s="130"/>
      <c r="HN85" s="130"/>
      <c r="HO85" s="130"/>
      <c r="HP85" s="130"/>
      <c r="HQ85" s="130"/>
      <c r="HR85" s="130"/>
      <c r="HS85" s="130"/>
      <c r="HT85" s="130"/>
      <c r="HU85" s="130"/>
      <c r="HV85" s="130"/>
      <c r="HW85" s="130"/>
      <c r="HX85" s="130"/>
      <c r="HY85" s="130"/>
      <c r="HZ85" s="130"/>
      <c r="IA85" s="130"/>
      <c r="IB85" s="130"/>
      <c r="IC85" s="130"/>
      <c r="ID85" s="130"/>
      <c r="IE85" s="130"/>
      <c r="IF85" s="130"/>
      <c r="IG85" s="130"/>
      <c r="IH85" s="130"/>
      <c r="II85" s="130"/>
      <c r="IJ85" s="130"/>
      <c r="IK85" s="130"/>
      <c r="IL85" s="130"/>
      <c r="IM85" s="130"/>
      <c r="IN85" s="130"/>
      <c r="IO85" s="130"/>
      <c r="IP85" s="130"/>
      <c r="IQ85" s="130"/>
      <c r="IR85" s="130"/>
      <c r="IS85" s="130"/>
      <c r="IT85" s="130"/>
      <c r="IU85" s="130"/>
    </row>
    <row r="86" spans="1:255" s="123" customFormat="1" ht="45" customHeight="1">
      <c r="A86" s="216"/>
      <c r="B86" s="221"/>
      <c r="C86" s="217"/>
      <c r="D86" s="217"/>
      <c r="E86" s="218"/>
      <c r="F86" s="218"/>
      <c r="G86" s="219"/>
      <c r="H86" s="220"/>
      <c r="I86" s="219"/>
      <c r="J86" s="213"/>
      <c r="K86" s="124"/>
      <c r="L86" s="214"/>
      <c r="M86" s="215"/>
      <c r="N86" s="215"/>
      <c r="O86" s="215"/>
      <c r="P86" s="215"/>
      <c r="Q86" s="215"/>
      <c r="R86" s="215"/>
      <c r="S86" s="215"/>
      <c r="T86" s="94" t="s">
        <v>544</v>
      </c>
      <c r="U86" s="129"/>
      <c r="V86" s="125"/>
      <c r="W86" s="125" t="str">
        <f>'[1]bang gia'!$C$46</f>
        <v>đồng/cây</v>
      </c>
      <c r="X86" s="120">
        <v>28</v>
      </c>
      <c r="Y86" s="98"/>
      <c r="Z86" s="124"/>
      <c r="AA86" s="121"/>
      <c r="AB86" s="122"/>
      <c r="AC86" s="212"/>
      <c r="AD86" s="212"/>
      <c r="AE86" s="240"/>
    </row>
    <row r="87" spans="1:255" s="123" customFormat="1" ht="26.25" customHeight="1">
      <c r="A87" s="216"/>
      <c r="B87" s="221"/>
      <c r="C87" s="217"/>
      <c r="D87" s="217"/>
      <c r="E87" s="218"/>
      <c r="F87" s="218"/>
      <c r="G87" s="219"/>
      <c r="H87" s="220"/>
      <c r="I87" s="219"/>
      <c r="J87" s="213"/>
      <c r="K87" s="124"/>
      <c r="L87" s="214"/>
      <c r="M87" s="215"/>
      <c r="N87" s="215"/>
      <c r="O87" s="215"/>
      <c r="P87" s="215"/>
      <c r="Q87" s="215"/>
      <c r="R87" s="215"/>
      <c r="S87" s="215"/>
      <c r="T87" s="133" t="s">
        <v>399</v>
      </c>
      <c r="U87" s="129"/>
      <c r="V87" s="125"/>
      <c r="W87" s="125" t="str">
        <f>'[1]bang gia'!$C$46</f>
        <v>đồng/cây</v>
      </c>
      <c r="X87" s="120">
        <v>9</v>
      </c>
      <c r="Y87" s="98">
        <v>2500000</v>
      </c>
      <c r="Z87" s="124"/>
      <c r="AA87" s="121">
        <v>1</v>
      </c>
      <c r="AB87" s="122">
        <f t="shared" si="5"/>
        <v>22500000</v>
      </c>
      <c r="AC87" s="212"/>
      <c r="AD87" s="212"/>
    </row>
    <row r="88" spans="1:255" s="123" customFormat="1" ht="26.25" customHeight="1">
      <c r="A88" s="216"/>
      <c r="B88" s="221"/>
      <c r="C88" s="217"/>
      <c r="D88" s="217"/>
      <c r="E88" s="218"/>
      <c r="F88" s="218"/>
      <c r="G88" s="219"/>
      <c r="H88" s="220"/>
      <c r="I88" s="219"/>
      <c r="J88" s="213"/>
      <c r="K88" s="124"/>
      <c r="L88" s="214"/>
      <c r="M88" s="215"/>
      <c r="N88" s="215"/>
      <c r="O88" s="215"/>
      <c r="P88" s="215"/>
      <c r="Q88" s="215"/>
      <c r="R88" s="215"/>
      <c r="S88" s="215"/>
      <c r="T88" s="133" t="s">
        <v>401</v>
      </c>
      <c r="U88" s="129"/>
      <c r="V88" s="119">
        <f>((X84+X86)-(X85+X87))*0.3</f>
        <v>5.7</v>
      </c>
      <c r="W88" s="125" t="str">
        <f>'[1]bang gia'!$C$46</f>
        <v>đồng/cây</v>
      </c>
      <c r="X88" s="120">
        <v>6</v>
      </c>
      <c r="Y88" s="98">
        <v>2500000</v>
      </c>
      <c r="Z88" s="124"/>
      <c r="AA88" s="121">
        <v>0.3</v>
      </c>
      <c r="AB88" s="122">
        <f t="shared" si="5"/>
        <v>4500000</v>
      </c>
      <c r="AC88" s="212"/>
      <c r="AD88" s="212"/>
    </row>
    <row r="89" spans="1:255" s="123" customFormat="1" ht="26.25" customHeight="1">
      <c r="A89" s="216"/>
      <c r="B89" s="221"/>
      <c r="C89" s="217"/>
      <c r="D89" s="217"/>
      <c r="E89" s="218"/>
      <c r="F89" s="218"/>
      <c r="G89" s="219"/>
      <c r="H89" s="220"/>
      <c r="I89" s="219"/>
      <c r="J89" s="213"/>
      <c r="K89" s="124"/>
      <c r="L89" s="214"/>
      <c r="M89" s="215"/>
      <c r="N89" s="215"/>
      <c r="O89" s="215"/>
      <c r="P89" s="215"/>
      <c r="Q89" s="215"/>
      <c r="R89" s="215"/>
      <c r="S89" s="215"/>
      <c r="T89" s="133" t="s">
        <v>402</v>
      </c>
      <c r="U89" s="129"/>
      <c r="V89" s="125"/>
      <c r="W89" s="125" t="str">
        <f>'[1]bang gia'!$C$46</f>
        <v>đồng/cây</v>
      </c>
      <c r="X89" s="120">
        <f>X86-X87-X88</f>
        <v>13</v>
      </c>
      <c r="Y89" s="98">
        <v>2500000</v>
      </c>
      <c r="Z89" s="124"/>
      <c r="AA89" s="121">
        <v>0</v>
      </c>
      <c r="AB89" s="122">
        <f t="shared" si="5"/>
        <v>0</v>
      </c>
      <c r="AC89" s="212"/>
      <c r="AD89" s="212"/>
    </row>
    <row r="90" spans="1:255" s="123" customFormat="1" ht="42.75" customHeight="1">
      <c r="A90" s="216"/>
      <c r="B90" s="221"/>
      <c r="C90" s="217"/>
      <c r="D90" s="217"/>
      <c r="E90" s="218"/>
      <c r="F90" s="218"/>
      <c r="G90" s="219"/>
      <c r="H90" s="220"/>
      <c r="I90" s="219"/>
      <c r="J90" s="213"/>
      <c r="K90" s="124"/>
      <c r="L90" s="214"/>
      <c r="M90" s="215"/>
      <c r="N90" s="215"/>
      <c r="O90" s="215"/>
      <c r="P90" s="215"/>
      <c r="Q90" s="215"/>
      <c r="R90" s="215"/>
      <c r="S90" s="215"/>
      <c r="T90" s="94" t="s">
        <v>545</v>
      </c>
      <c r="U90" s="129">
        <v>25</v>
      </c>
      <c r="V90" s="127">
        <f>(I84-2)/U90*0.3</f>
        <v>7.7519999999999998</v>
      </c>
      <c r="W90" s="125" t="str">
        <f>'[1]bang gia'!$C$46</f>
        <v>đồng/cây</v>
      </c>
      <c r="X90" s="120">
        <v>32</v>
      </c>
      <c r="Y90" s="98"/>
      <c r="Z90" s="124"/>
      <c r="AA90" s="128"/>
      <c r="AB90" s="122"/>
      <c r="AC90" s="212"/>
      <c r="AD90" s="212"/>
    </row>
    <row r="91" spans="1:255" s="123" customFormat="1" ht="26.25" customHeight="1">
      <c r="A91" s="216"/>
      <c r="B91" s="221"/>
      <c r="C91" s="217"/>
      <c r="D91" s="217"/>
      <c r="E91" s="218"/>
      <c r="F91" s="218"/>
      <c r="G91" s="219"/>
      <c r="H91" s="220"/>
      <c r="I91" s="219"/>
      <c r="J91" s="213"/>
      <c r="K91" s="124"/>
      <c r="L91" s="214"/>
      <c r="M91" s="215"/>
      <c r="N91" s="215"/>
      <c r="O91" s="215"/>
      <c r="P91" s="215"/>
      <c r="Q91" s="215"/>
      <c r="R91" s="215"/>
      <c r="S91" s="215"/>
      <c r="T91" s="133" t="s">
        <v>401</v>
      </c>
      <c r="U91" s="129"/>
      <c r="V91" s="127"/>
      <c r="W91" s="125" t="str">
        <f>'[1]bang gia'!$C$46</f>
        <v>đồng/cây</v>
      </c>
      <c r="X91" s="120">
        <v>8</v>
      </c>
      <c r="Y91" s="98">
        <v>1000000</v>
      </c>
      <c r="Z91" s="124"/>
      <c r="AA91" s="121">
        <v>0.3</v>
      </c>
      <c r="AB91" s="122">
        <f>X91*Y91*AA91</f>
        <v>2400000</v>
      </c>
      <c r="AC91" s="212"/>
      <c r="AD91" s="212"/>
    </row>
    <row r="92" spans="1:255" s="123" customFormat="1" ht="26.25" customHeight="1">
      <c r="A92" s="216"/>
      <c r="B92" s="221"/>
      <c r="C92" s="217"/>
      <c r="D92" s="217"/>
      <c r="E92" s="218"/>
      <c r="F92" s="218"/>
      <c r="G92" s="219"/>
      <c r="H92" s="220"/>
      <c r="I92" s="219"/>
      <c r="J92" s="213"/>
      <c r="K92" s="124"/>
      <c r="L92" s="214"/>
      <c r="M92" s="215"/>
      <c r="N92" s="215"/>
      <c r="O92" s="215"/>
      <c r="P92" s="215"/>
      <c r="Q92" s="215"/>
      <c r="R92" s="215"/>
      <c r="S92" s="215"/>
      <c r="T92" s="133" t="s">
        <v>402</v>
      </c>
      <c r="U92" s="129"/>
      <c r="V92" s="127"/>
      <c r="W92" s="125" t="str">
        <f>'[1]bang gia'!$C$46</f>
        <v>đồng/cây</v>
      </c>
      <c r="X92" s="120">
        <f>X90-X91</f>
        <v>24</v>
      </c>
      <c r="Y92" s="98">
        <v>1000000</v>
      </c>
      <c r="Z92" s="124"/>
      <c r="AA92" s="128">
        <v>0</v>
      </c>
      <c r="AB92" s="122">
        <f>X92*Y92*AA92</f>
        <v>0</v>
      </c>
      <c r="AC92" s="212"/>
      <c r="AD92" s="212"/>
    </row>
    <row r="93" spans="1:255" s="123" customFormat="1" ht="26.25" customHeight="1">
      <c r="A93" s="216"/>
      <c r="B93" s="221"/>
      <c r="C93" s="217"/>
      <c r="D93" s="217"/>
      <c r="E93" s="218"/>
      <c r="F93" s="218"/>
      <c r="G93" s="219"/>
      <c r="H93" s="220"/>
      <c r="I93" s="219"/>
      <c r="J93" s="213"/>
      <c r="K93" s="124"/>
      <c r="L93" s="214"/>
      <c r="M93" s="215"/>
      <c r="N93" s="215"/>
      <c r="O93" s="215"/>
      <c r="P93" s="215"/>
      <c r="Q93" s="215"/>
      <c r="R93" s="215"/>
      <c r="S93" s="215"/>
      <c r="T93" s="94" t="s">
        <v>546</v>
      </c>
      <c r="U93" s="129"/>
      <c r="V93" s="125"/>
      <c r="W93" s="118" t="s">
        <v>0</v>
      </c>
      <c r="X93" s="122">
        <v>200</v>
      </c>
      <c r="Y93" s="98">
        <v>30000</v>
      </c>
      <c r="Z93" s="124"/>
      <c r="AA93" s="121">
        <v>1</v>
      </c>
      <c r="AB93" s="122">
        <f>X93*Y93*AA93</f>
        <v>6000000</v>
      </c>
      <c r="AC93" s="212"/>
      <c r="AD93" s="212"/>
    </row>
    <row r="94" spans="1:255" s="123" customFormat="1" ht="45" customHeight="1">
      <c r="A94" s="216"/>
      <c r="B94" s="221"/>
      <c r="C94" s="217"/>
      <c r="D94" s="217"/>
      <c r="E94" s="218"/>
      <c r="F94" s="218"/>
      <c r="G94" s="219"/>
      <c r="H94" s="220"/>
      <c r="I94" s="219"/>
      <c r="J94" s="213"/>
      <c r="K94" s="124"/>
      <c r="L94" s="214"/>
      <c r="M94" s="215"/>
      <c r="N94" s="215"/>
      <c r="O94" s="215"/>
      <c r="P94" s="215"/>
      <c r="Q94" s="215"/>
      <c r="R94" s="215"/>
      <c r="S94" s="215"/>
      <c r="T94" s="140" t="s">
        <v>547</v>
      </c>
      <c r="U94" s="96"/>
      <c r="V94" s="125">
        <v>2</v>
      </c>
      <c r="W94" s="96" t="s">
        <v>7</v>
      </c>
      <c r="X94" s="120">
        <v>2</v>
      </c>
      <c r="Y94" s="97"/>
      <c r="Z94" s="124"/>
      <c r="AA94" s="121">
        <v>0</v>
      </c>
      <c r="AB94" s="120">
        <v>0</v>
      </c>
      <c r="AC94" s="212"/>
      <c r="AD94" s="212"/>
    </row>
    <row r="95" spans="1:255" s="123" customFormat="1" ht="30" customHeight="1">
      <c r="A95" s="216"/>
      <c r="B95" s="221"/>
      <c r="C95" s="217"/>
      <c r="D95" s="217"/>
      <c r="E95" s="218"/>
      <c r="F95" s="218"/>
      <c r="G95" s="219"/>
      <c r="H95" s="220"/>
      <c r="I95" s="219"/>
      <c r="J95" s="213"/>
      <c r="K95" s="124"/>
      <c r="L95" s="214"/>
      <c r="M95" s="215"/>
      <c r="N95" s="215"/>
      <c r="O95" s="215"/>
      <c r="P95" s="215"/>
      <c r="Q95" s="215"/>
      <c r="R95" s="215"/>
      <c r="S95" s="215"/>
      <c r="T95" s="94" t="s">
        <v>548</v>
      </c>
      <c r="U95" s="129"/>
      <c r="V95" s="125"/>
      <c r="W95" s="96" t="s">
        <v>6</v>
      </c>
      <c r="X95" s="120"/>
      <c r="Y95" s="97"/>
      <c r="Z95" s="124"/>
      <c r="AA95" s="121">
        <v>0</v>
      </c>
      <c r="AB95" s="122">
        <f>X95*Y95*AA95</f>
        <v>0</v>
      </c>
      <c r="AC95" s="212"/>
      <c r="AD95" s="212"/>
    </row>
    <row r="96" spans="1:255" s="123" customFormat="1" ht="43.5" customHeight="1">
      <c r="A96" s="216"/>
      <c r="B96" s="221"/>
      <c r="C96" s="217"/>
      <c r="D96" s="217"/>
      <c r="E96" s="218"/>
      <c r="F96" s="218"/>
      <c r="G96" s="219"/>
      <c r="H96" s="220"/>
      <c r="I96" s="219"/>
      <c r="J96" s="213"/>
      <c r="K96" s="124"/>
      <c r="L96" s="214"/>
      <c r="M96" s="215"/>
      <c r="N96" s="215"/>
      <c r="O96" s="215"/>
      <c r="P96" s="215"/>
      <c r="Q96" s="215"/>
      <c r="R96" s="215"/>
      <c r="S96" s="215"/>
      <c r="T96" s="140" t="s">
        <v>549</v>
      </c>
      <c r="U96" s="96"/>
      <c r="V96" s="125"/>
      <c r="W96" s="96" t="s">
        <v>6</v>
      </c>
      <c r="X96" s="120"/>
      <c r="Y96" s="97"/>
      <c r="Z96" s="124"/>
      <c r="AA96" s="121">
        <v>0</v>
      </c>
      <c r="AB96" s="122">
        <f>X96*Y96*AA96</f>
        <v>0</v>
      </c>
      <c r="AC96" s="212"/>
      <c r="AD96" s="212"/>
    </row>
    <row r="97" spans="1:255" s="123" customFormat="1" ht="27" customHeight="1">
      <c r="A97" s="216"/>
      <c r="B97" s="221"/>
      <c r="C97" s="217"/>
      <c r="D97" s="217"/>
      <c r="E97" s="218"/>
      <c r="F97" s="218"/>
      <c r="G97" s="219"/>
      <c r="H97" s="220"/>
      <c r="I97" s="219"/>
      <c r="J97" s="213"/>
      <c r="K97" s="124"/>
      <c r="L97" s="214"/>
      <c r="M97" s="215"/>
      <c r="N97" s="215"/>
      <c r="O97" s="215"/>
      <c r="P97" s="215"/>
      <c r="Q97" s="215"/>
      <c r="R97" s="215"/>
      <c r="S97" s="215"/>
      <c r="T97" s="126" t="s">
        <v>550</v>
      </c>
      <c r="U97" s="112"/>
      <c r="V97" s="125"/>
      <c r="W97" s="125" t="s">
        <v>501</v>
      </c>
      <c r="X97" s="134">
        <v>0.8</v>
      </c>
      <c r="Y97" s="120"/>
      <c r="Z97" s="124"/>
      <c r="AA97" s="121">
        <v>0</v>
      </c>
      <c r="AB97" s="122">
        <f>X97*Y97*AA97</f>
        <v>0</v>
      </c>
      <c r="AC97" s="212"/>
      <c r="AD97" s="212"/>
    </row>
    <row r="98" spans="1:255" s="123" customFormat="1" ht="27" customHeight="1">
      <c r="A98" s="216"/>
      <c r="B98" s="221"/>
      <c r="C98" s="217"/>
      <c r="D98" s="217"/>
      <c r="E98" s="218"/>
      <c r="F98" s="218"/>
      <c r="G98" s="219"/>
      <c r="H98" s="220"/>
      <c r="I98" s="219"/>
      <c r="J98" s="213"/>
      <c r="K98" s="124"/>
      <c r="L98" s="214"/>
      <c r="M98" s="215"/>
      <c r="N98" s="215"/>
      <c r="O98" s="215"/>
      <c r="P98" s="215"/>
      <c r="Q98" s="215"/>
      <c r="R98" s="215"/>
      <c r="S98" s="215"/>
      <c r="T98" s="126" t="s">
        <v>525</v>
      </c>
      <c r="U98" s="112"/>
      <c r="V98" s="112"/>
      <c r="W98" s="112" t="s">
        <v>395</v>
      </c>
      <c r="X98" s="122">
        <v>1</v>
      </c>
      <c r="Y98" s="120"/>
      <c r="Z98" s="124"/>
      <c r="AA98" s="121">
        <v>0</v>
      </c>
      <c r="AB98" s="122">
        <f>X98*Y98*AA98</f>
        <v>0</v>
      </c>
      <c r="AC98" s="212"/>
      <c r="AD98" s="212"/>
    </row>
    <row r="99" spans="1:255" s="123" customFormat="1" ht="27" customHeight="1">
      <c r="A99" s="216"/>
      <c r="B99" s="221"/>
      <c r="C99" s="217"/>
      <c r="D99" s="217"/>
      <c r="E99" s="218"/>
      <c r="F99" s="218"/>
      <c r="G99" s="219"/>
      <c r="H99" s="220"/>
      <c r="I99" s="219"/>
      <c r="J99" s="213"/>
      <c r="K99" s="124"/>
      <c r="L99" s="214"/>
      <c r="M99" s="215"/>
      <c r="N99" s="215"/>
      <c r="O99" s="215"/>
      <c r="P99" s="215"/>
      <c r="Q99" s="215"/>
      <c r="R99" s="215"/>
      <c r="S99" s="215"/>
      <c r="T99" s="140" t="s">
        <v>551</v>
      </c>
      <c r="U99" s="96"/>
      <c r="V99" s="125"/>
      <c r="W99" s="96" t="s">
        <v>6</v>
      </c>
      <c r="X99" s="122" t="s">
        <v>552</v>
      </c>
      <c r="Y99" s="120"/>
      <c r="Z99" s="124"/>
      <c r="AA99" s="121">
        <v>0</v>
      </c>
      <c r="AB99" s="120">
        <v>0</v>
      </c>
      <c r="AC99" s="212"/>
      <c r="AD99" s="212"/>
    </row>
    <row r="100" spans="1:255" s="123" customFormat="1" ht="40.5" customHeight="1">
      <c r="A100" s="216"/>
      <c r="B100" s="221"/>
      <c r="C100" s="217">
        <v>64</v>
      </c>
      <c r="D100" s="217">
        <v>498</v>
      </c>
      <c r="E100" s="218">
        <v>655.20000000000005</v>
      </c>
      <c r="F100" s="218" t="s">
        <v>26</v>
      </c>
      <c r="G100" s="219">
        <v>648</v>
      </c>
      <c r="H100" s="220">
        <f>E100-G100</f>
        <v>7.2000000000000455</v>
      </c>
      <c r="I100" s="219">
        <v>648</v>
      </c>
      <c r="J100" s="213"/>
      <c r="K100" s="124"/>
      <c r="L100" s="214"/>
      <c r="M100" s="215"/>
      <c r="N100" s="215"/>
      <c r="O100" s="215"/>
      <c r="P100" s="215"/>
      <c r="Q100" s="215"/>
      <c r="R100" s="215"/>
      <c r="S100" s="215"/>
      <c r="T100" s="126" t="s">
        <v>496</v>
      </c>
      <c r="U100" s="112">
        <v>25</v>
      </c>
      <c r="V100" s="127">
        <f>(I100-3.7)/U100</f>
        <v>25.771999999999998</v>
      </c>
      <c r="W100" s="125" t="str">
        <f>'[1]bang gia'!$C$46</f>
        <v>đồng/cây</v>
      </c>
      <c r="X100" s="120">
        <v>32</v>
      </c>
      <c r="Y100" s="98"/>
      <c r="Z100" s="124"/>
      <c r="AA100" s="121"/>
      <c r="AB100" s="122"/>
      <c r="AC100" s="212">
        <f>SUM(AB100:AB114)</f>
        <v>139200000</v>
      </c>
      <c r="AD100" s="212"/>
      <c r="AE100" s="239" t="s">
        <v>492</v>
      </c>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c r="DN100" s="130"/>
      <c r="DO100" s="130"/>
      <c r="DP100" s="130"/>
      <c r="DQ100" s="130"/>
      <c r="DR100" s="130"/>
      <c r="DS100" s="130"/>
      <c r="DT100" s="130"/>
      <c r="DU100" s="130"/>
      <c r="DV100" s="130"/>
      <c r="DW100" s="130"/>
      <c r="DX100" s="130"/>
      <c r="DY100" s="130"/>
      <c r="DZ100" s="130"/>
      <c r="EA100" s="130"/>
      <c r="EB100" s="130"/>
      <c r="EC100" s="130"/>
      <c r="ED100" s="130"/>
      <c r="EE100" s="130"/>
      <c r="EF100" s="130"/>
      <c r="EG100" s="130"/>
      <c r="EH100" s="130"/>
      <c r="EI100" s="130"/>
      <c r="EJ100" s="130"/>
      <c r="EK100" s="130"/>
      <c r="EL100" s="130"/>
      <c r="EM100" s="130"/>
      <c r="EN100" s="130"/>
      <c r="EO100" s="130"/>
      <c r="EP100" s="130"/>
      <c r="EQ100" s="130"/>
      <c r="ER100" s="130"/>
      <c r="ES100" s="130"/>
      <c r="ET100" s="130"/>
      <c r="EU100" s="130"/>
      <c r="EV100" s="130"/>
      <c r="EW100" s="130"/>
      <c r="EX100" s="130"/>
      <c r="EY100" s="130"/>
      <c r="EZ100" s="130"/>
      <c r="FA100" s="130"/>
      <c r="FB100" s="130"/>
      <c r="FC100" s="130"/>
      <c r="FD100" s="130"/>
      <c r="FE100" s="130"/>
      <c r="FF100" s="130"/>
      <c r="FG100" s="130"/>
      <c r="FH100" s="130"/>
      <c r="FI100" s="130"/>
      <c r="FJ100" s="130"/>
      <c r="FK100" s="130"/>
      <c r="FL100" s="130"/>
      <c r="FM100" s="130"/>
      <c r="FN100" s="130"/>
      <c r="FO100" s="130"/>
      <c r="FP100" s="130"/>
      <c r="FQ100" s="130"/>
      <c r="FR100" s="130"/>
      <c r="FS100" s="130"/>
      <c r="FT100" s="130"/>
      <c r="FU100" s="130"/>
      <c r="FV100" s="130"/>
      <c r="FW100" s="130"/>
      <c r="FX100" s="130"/>
      <c r="FY100" s="130"/>
      <c r="FZ100" s="130"/>
      <c r="GA100" s="130"/>
      <c r="GB100" s="130"/>
      <c r="GC100" s="130"/>
      <c r="GD100" s="130"/>
      <c r="GE100" s="130"/>
      <c r="GF100" s="130"/>
      <c r="GG100" s="130"/>
      <c r="GH100" s="130"/>
      <c r="GI100" s="130"/>
      <c r="GJ100" s="130"/>
      <c r="GK100" s="130"/>
      <c r="GL100" s="130"/>
      <c r="GM100" s="130"/>
      <c r="GN100" s="130"/>
      <c r="GO100" s="130"/>
      <c r="GP100" s="130"/>
      <c r="GQ100" s="130"/>
      <c r="GR100" s="130"/>
      <c r="GS100" s="130"/>
      <c r="GT100" s="130"/>
      <c r="GU100" s="130"/>
      <c r="GV100" s="130"/>
      <c r="GW100" s="130"/>
      <c r="GX100" s="130"/>
      <c r="GY100" s="130"/>
      <c r="GZ100" s="130"/>
      <c r="HA100" s="130"/>
      <c r="HB100" s="130"/>
      <c r="HC100" s="130"/>
      <c r="HD100" s="130"/>
      <c r="HE100" s="130"/>
      <c r="HF100" s="130"/>
      <c r="HG100" s="130"/>
      <c r="HH100" s="130"/>
      <c r="HI100" s="130"/>
      <c r="HJ100" s="130"/>
      <c r="HK100" s="130"/>
      <c r="HL100" s="130"/>
      <c r="HM100" s="130"/>
      <c r="HN100" s="130"/>
      <c r="HO100" s="130"/>
      <c r="HP100" s="130"/>
      <c r="HQ100" s="130"/>
      <c r="HR100" s="130"/>
      <c r="HS100" s="130"/>
      <c r="HT100" s="130"/>
      <c r="HU100" s="130"/>
      <c r="HV100" s="130"/>
      <c r="HW100" s="130"/>
      <c r="HX100" s="130"/>
      <c r="HY100" s="130"/>
      <c r="HZ100" s="130"/>
      <c r="IA100" s="130"/>
      <c r="IB100" s="130"/>
      <c r="IC100" s="130"/>
      <c r="ID100" s="130"/>
      <c r="IE100" s="130"/>
      <c r="IF100" s="130"/>
      <c r="IG100" s="130"/>
      <c r="IH100" s="130"/>
      <c r="II100" s="130"/>
      <c r="IJ100" s="130"/>
      <c r="IK100" s="130"/>
      <c r="IL100" s="130"/>
      <c r="IM100" s="130"/>
      <c r="IN100" s="130"/>
      <c r="IO100" s="130"/>
      <c r="IP100" s="130"/>
      <c r="IQ100" s="130"/>
      <c r="IR100" s="130"/>
      <c r="IS100" s="130"/>
      <c r="IT100" s="130"/>
      <c r="IU100" s="130"/>
    </row>
    <row r="101" spans="1:255" s="150" customFormat="1" ht="25.5" customHeight="1">
      <c r="A101" s="216"/>
      <c r="B101" s="221"/>
      <c r="C101" s="217"/>
      <c r="D101" s="217"/>
      <c r="E101" s="218"/>
      <c r="F101" s="218"/>
      <c r="G101" s="219"/>
      <c r="H101" s="220"/>
      <c r="I101" s="219"/>
      <c r="J101" s="213"/>
      <c r="K101" s="124"/>
      <c r="L101" s="214"/>
      <c r="M101" s="215"/>
      <c r="N101" s="215"/>
      <c r="O101" s="215"/>
      <c r="P101" s="215"/>
      <c r="Q101" s="215"/>
      <c r="R101" s="215"/>
      <c r="S101" s="215"/>
      <c r="T101" s="133" t="s">
        <v>399</v>
      </c>
      <c r="U101" s="129"/>
      <c r="V101" s="125"/>
      <c r="W101" s="125" t="str">
        <f>'[1]bang gia'!$C$46</f>
        <v>đồng/cây</v>
      </c>
      <c r="X101" s="120">
        <v>26</v>
      </c>
      <c r="Y101" s="98">
        <v>4500000</v>
      </c>
      <c r="Z101" s="124"/>
      <c r="AA101" s="128">
        <v>1</v>
      </c>
      <c r="AB101" s="122">
        <f>X101*Y101*AA101</f>
        <v>117000000</v>
      </c>
      <c r="AC101" s="212"/>
      <c r="AD101" s="212"/>
      <c r="AE101" s="240"/>
    </row>
    <row r="102" spans="1:255" s="150" customFormat="1" ht="25.5" customHeight="1">
      <c r="A102" s="216"/>
      <c r="B102" s="221"/>
      <c r="C102" s="217"/>
      <c r="D102" s="217"/>
      <c r="E102" s="218"/>
      <c r="F102" s="218"/>
      <c r="G102" s="219"/>
      <c r="H102" s="220"/>
      <c r="I102" s="219"/>
      <c r="J102" s="213"/>
      <c r="K102" s="124"/>
      <c r="L102" s="214"/>
      <c r="M102" s="215"/>
      <c r="N102" s="215"/>
      <c r="O102" s="215"/>
      <c r="P102" s="215"/>
      <c r="Q102" s="215"/>
      <c r="R102" s="215"/>
      <c r="S102" s="215"/>
      <c r="T102" s="133" t="s">
        <v>401</v>
      </c>
      <c r="U102" s="129"/>
      <c r="V102" s="120">
        <f>(X100-X101)*0.3</f>
        <v>1.7999999999999998</v>
      </c>
      <c r="W102" s="125" t="str">
        <f>'[1]bang gia'!$C$46</f>
        <v>đồng/cây</v>
      </c>
      <c r="X102" s="120">
        <v>2</v>
      </c>
      <c r="Y102" s="98">
        <v>4500000</v>
      </c>
      <c r="Z102" s="124"/>
      <c r="AA102" s="121">
        <v>0.3</v>
      </c>
      <c r="AB102" s="122">
        <f>X102*Y102*AA102</f>
        <v>2700000</v>
      </c>
      <c r="AC102" s="212"/>
      <c r="AD102" s="212"/>
      <c r="AE102" s="240"/>
    </row>
    <row r="103" spans="1:255" s="150" customFormat="1" ht="25.5" customHeight="1">
      <c r="A103" s="216"/>
      <c r="B103" s="221"/>
      <c r="C103" s="217"/>
      <c r="D103" s="217"/>
      <c r="E103" s="218"/>
      <c r="F103" s="218"/>
      <c r="G103" s="219"/>
      <c r="H103" s="220"/>
      <c r="I103" s="219"/>
      <c r="J103" s="213"/>
      <c r="K103" s="124"/>
      <c r="L103" s="214"/>
      <c r="M103" s="215"/>
      <c r="N103" s="215"/>
      <c r="O103" s="215"/>
      <c r="P103" s="215"/>
      <c r="Q103" s="215"/>
      <c r="R103" s="215"/>
      <c r="S103" s="215"/>
      <c r="T103" s="133" t="s">
        <v>402</v>
      </c>
      <c r="U103" s="129"/>
      <c r="V103" s="125"/>
      <c r="W103" s="125" t="str">
        <f>'[1]bang gia'!$C$46</f>
        <v>đồng/cây</v>
      </c>
      <c r="X103" s="120">
        <f>X100-X101-X102</f>
        <v>4</v>
      </c>
      <c r="Y103" s="98">
        <v>4500000</v>
      </c>
      <c r="Z103" s="124"/>
      <c r="AA103" s="128">
        <v>0</v>
      </c>
      <c r="AB103" s="122">
        <f>X103*Y103*AA103</f>
        <v>0</v>
      </c>
      <c r="AC103" s="212"/>
      <c r="AD103" s="212"/>
      <c r="AE103" s="240"/>
    </row>
    <row r="104" spans="1:255" s="123" customFormat="1" ht="41.25" customHeight="1">
      <c r="A104" s="216"/>
      <c r="B104" s="221"/>
      <c r="C104" s="217"/>
      <c r="D104" s="217"/>
      <c r="E104" s="218"/>
      <c r="F104" s="218"/>
      <c r="G104" s="219"/>
      <c r="H104" s="220"/>
      <c r="I104" s="219"/>
      <c r="J104" s="213"/>
      <c r="K104" s="124"/>
      <c r="L104" s="214"/>
      <c r="M104" s="215"/>
      <c r="N104" s="215"/>
      <c r="O104" s="215"/>
      <c r="P104" s="215"/>
      <c r="Q104" s="215"/>
      <c r="R104" s="215"/>
      <c r="S104" s="215"/>
      <c r="T104" s="94" t="s">
        <v>553</v>
      </c>
      <c r="U104" s="129">
        <v>20</v>
      </c>
      <c r="V104" s="127">
        <f>(G100-3.7)/20*0.3</f>
        <v>9.6644999999999985</v>
      </c>
      <c r="W104" s="125" t="str">
        <f>'[1]bang gia'!$C$46</f>
        <v>đồng/cây</v>
      </c>
      <c r="X104" s="120">
        <v>12</v>
      </c>
      <c r="Y104" s="98"/>
      <c r="Z104" s="124"/>
      <c r="AA104" s="121"/>
      <c r="AB104" s="122"/>
      <c r="AC104" s="212"/>
      <c r="AD104" s="212"/>
      <c r="AE104" s="240"/>
    </row>
    <row r="105" spans="1:255" s="123" customFormat="1" ht="22.5" customHeight="1">
      <c r="A105" s="216"/>
      <c r="B105" s="221"/>
      <c r="C105" s="217"/>
      <c r="D105" s="217"/>
      <c r="E105" s="218"/>
      <c r="F105" s="218"/>
      <c r="G105" s="219"/>
      <c r="H105" s="220"/>
      <c r="I105" s="219"/>
      <c r="J105" s="213"/>
      <c r="K105" s="124"/>
      <c r="L105" s="214"/>
      <c r="M105" s="215"/>
      <c r="N105" s="215"/>
      <c r="O105" s="215"/>
      <c r="P105" s="215"/>
      <c r="Q105" s="215"/>
      <c r="R105" s="215"/>
      <c r="S105" s="215"/>
      <c r="T105" s="133" t="s">
        <v>401</v>
      </c>
      <c r="U105" s="129"/>
      <c r="V105" s="127"/>
      <c r="W105" s="125" t="str">
        <f>'[1]bang gia'!$C$46</f>
        <v>đồng/cây</v>
      </c>
      <c r="X105" s="120">
        <v>10</v>
      </c>
      <c r="Y105" s="98">
        <v>2500000</v>
      </c>
      <c r="Z105" s="124"/>
      <c r="AA105" s="121">
        <v>0.3</v>
      </c>
      <c r="AB105" s="122">
        <f>X105*Y105*AA105</f>
        <v>7500000</v>
      </c>
      <c r="AC105" s="212"/>
      <c r="AD105" s="212"/>
      <c r="AE105" s="149"/>
    </row>
    <row r="106" spans="1:255" s="123" customFormat="1" ht="22.5" customHeight="1">
      <c r="A106" s="216"/>
      <c r="B106" s="221"/>
      <c r="C106" s="217"/>
      <c r="D106" s="217"/>
      <c r="E106" s="218"/>
      <c r="F106" s="218"/>
      <c r="G106" s="219"/>
      <c r="H106" s="220"/>
      <c r="I106" s="219"/>
      <c r="J106" s="213"/>
      <c r="K106" s="124"/>
      <c r="L106" s="214"/>
      <c r="M106" s="215"/>
      <c r="N106" s="215"/>
      <c r="O106" s="215"/>
      <c r="P106" s="215"/>
      <c r="Q106" s="215"/>
      <c r="R106" s="215"/>
      <c r="S106" s="215"/>
      <c r="T106" s="133" t="s">
        <v>402</v>
      </c>
      <c r="U106" s="129"/>
      <c r="V106" s="127"/>
      <c r="W106" s="125" t="str">
        <f>'[1]bang gia'!$C$46</f>
        <v>đồng/cây</v>
      </c>
      <c r="X106" s="120">
        <f>X104-X105</f>
        <v>2</v>
      </c>
      <c r="Y106" s="98">
        <v>2500000</v>
      </c>
      <c r="Z106" s="124"/>
      <c r="AA106" s="128">
        <v>0</v>
      </c>
      <c r="AB106" s="122">
        <f>X106*Y106*AA106</f>
        <v>0</v>
      </c>
      <c r="AC106" s="212"/>
      <c r="AD106" s="212"/>
      <c r="AE106" s="149"/>
    </row>
    <row r="107" spans="1:255" s="130" customFormat="1" ht="43.5" customHeight="1">
      <c r="A107" s="216"/>
      <c r="B107" s="221"/>
      <c r="C107" s="217"/>
      <c r="D107" s="217"/>
      <c r="E107" s="218"/>
      <c r="F107" s="218"/>
      <c r="G107" s="219"/>
      <c r="H107" s="220"/>
      <c r="I107" s="219"/>
      <c r="J107" s="213"/>
      <c r="K107" s="151"/>
      <c r="L107" s="214"/>
      <c r="M107" s="215"/>
      <c r="N107" s="215"/>
      <c r="O107" s="215"/>
      <c r="P107" s="215"/>
      <c r="Q107" s="215"/>
      <c r="R107" s="215"/>
      <c r="S107" s="215"/>
      <c r="T107" s="94" t="s">
        <v>554</v>
      </c>
      <c r="U107" s="129"/>
      <c r="V107" s="125"/>
      <c r="W107" s="125" t="str">
        <f>'[1]bang gia'!$C$46</f>
        <v>đồng/cây</v>
      </c>
      <c r="X107" s="120">
        <v>10</v>
      </c>
      <c r="Y107" s="98">
        <v>500000</v>
      </c>
      <c r="Z107" s="124"/>
      <c r="AA107" s="121">
        <v>0</v>
      </c>
      <c r="AB107" s="122">
        <f>X107*Y107*AA107</f>
        <v>0</v>
      </c>
      <c r="AC107" s="212"/>
      <c r="AD107" s="212"/>
    </row>
    <row r="108" spans="1:255" s="123" customFormat="1" ht="21.75" customHeight="1">
      <c r="A108" s="216"/>
      <c r="B108" s="221"/>
      <c r="C108" s="217"/>
      <c r="D108" s="217"/>
      <c r="E108" s="218"/>
      <c r="F108" s="218"/>
      <c r="G108" s="219"/>
      <c r="H108" s="220"/>
      <c r="I108" s="219"/>
      <c r="J108" s="213"/>
      <c r="K108" s="124"/>
      <c r="L108" s="214"/>
      <c r="M108" s="215"/>
      <c r="N108" s="215"/>
      <c r="O108" s="215"/>
      <c r="P108" s="215"/>
      <c r="Q108" s="215"/>
      <c r="R108" s="215"/>
      <c r="S108" s="215"/>
      <c r="T108" s="94" t="s">
        <v>555</v>
      </c>
      <c r="U108" s="129"/>
      <c r="V108" s="125"/>
      <c r="W108" s="118" t="s">
        <v>0</v>
      </c>
      <c r="X108" s="122">
        <v>400</v>
      </c>
      <c r="Y108" s="98">
        <v>30000</v>
      </c>
      <c r="Z108" s="124"/>
      <c r="AA108" s="121">
        <v>1</v>
      </c>
      <c r="AB108" s="122">
        <f>X108*Y108*AA108</f>
        <v>12000000</v>
      </c>
      <c r="AC108" s="212"/>
      <c r="AD108" s="212"/>
    </row>
    <row r="109" spans="1:255" s="123" customFormat="1" ht="40.5" customHeight="1">
      <c r="A109" s="216"/>
      <c r="B109" s="221"/>
      <c r="C109" s="217"/>
      <c r="D109" s="217"/>
      <c r="E109" s="218"/>
      <c r="F109" s="218"/>
      <c r="G109" s="219"/>
      <c r="H109" s="220"/>
      <c r="I109" s="219"/>
      <c r="J109" s="213"/>
      <c r="K109" s="124"/>
      <c r="L109" s="214"/>
      <c r="M109" s="215"/>
      <c r="N109" s="215"/>
      <c r="O109" s="215"/>
      <c r="P109" s="215"/>
      <c r="Q109" s="215"/>
      <c r="R109" s="215"/>
      <c r="S109" s="215"/>
      <c r="T109" s="140" t="s">
        <v>556</v>
      </c>
      <c r="U109" s="96"/>
      <c r="V109" s="125"/>
      <c r="W109" s="96" t="s">
        <v>522</v>
      </c>
      <c r="X109" s="120">
        <v>32</v>
      </c>
      <c r="Y109" s="120"/>
      <c r="Z109" s="124"/>
      <c r="AA109" s="121">
        <v>0</v>
      </c>
      <c r="AB109" s="120">
        <v>0</v>
      </c>
      <c r="AC109" s="212"/>
      <c r="AD109" s="212"/>
    </row>
    <row r="110" spans="1:255" s="123" customFormat="1" ht="25.5" customHeight="1">
      <c r="A110" s="216"/>
      <c r="B110" s="221"/>
      <c r="C110" s="217"/>
      <c r="D110" s="217"/>
      <c r="E110" s="218"/>
      <c r="F110" s="218"/>
      <c r="G110" s="219"/>
      <c r="H110" s="220"/>
      <c r="I110" s="219"/>
      <c r="J110" s="213"/>
      <c r="K110" s="124"/>
      <c r="L110" s="214"/>
      <c r="M110" s="215"/>
      <c r="N110" s="215"/>
      <c r="O110" s="215"/>
      <c r="P110" s="215"/>
      <c r="Q110" s="215"/>
      <c r="R110" s="215"/>
      <c r="S110" s="215"/>
      <c r="T110" s="94" t="s">
        <v>557</v>
      </c>
      <c r="U110" s="129"/>
      <c r="V110" s="125"/>
      <c r="W110" s="125" t="s">
        <v>6</v>
      </c>
      <c r="X110" s="122" t="s">
        <v>558</v>
      </c>
      <c r="Y110" s="120"/>
      <c r="Z110" s="124"/>
      <c r="AA110" s="121">
        <v>0</v>
      </c>
      <c r="AB110" s="120">
        <v>0</v>
      </c>
      <c r="AC110" s="212"/>
      <c r="AD110" s="212"/>
    </row>
    <row r="111" spans="1:255" s="123" customFormat="1" ht="25.5" customHeight="1">
      <c r="A111" s="216"/>
      <c r="B111" s="221"/>
      <c r="C111" s="217"/>
      <c r="D111" s="217"/>
      <c r="E111" s="218"/>
      <c r="F111" s="218"/>
      <c r="G111" s="219"/>
      <c r="H111" s="220"/>
      <c r="I111" s="219"/>
      <c r="J111" s="213"/>
      <c r="K111" s="124"/>
      <c r="L111" s="214"/>
      <c r="M111" s="215"/>
      <c r="N111" s="215"/>
      <c r="O111" s="215"/>
      <c r="P111" s="215"/>
      <c r="Q111" s="215"/>
      <c r="R111" s="215"/>
      <c r="S111" s="215"/>
      <c r="T111" s="126" t="s">
        <v>559</v>
      </c>
      <c r="U111" s="112"/>
      <c r="V111" s="125"/>
      <c r="W111" s="125" t="s">
        <v>501</v>
      </c>
      <c r="X111" s="134"/>
      <c r="Y111" s="120"/>
      <c r="Z111" s="124"/>
      <c r="AA111" s="121">
        <v>0</v>
      </c>
      <c r="AB111" s="120">
        <v>0</v>
      </c>
      <c r="AC111" s="212"/>
      <c r="AD111" s="212"/>
    </row>
    <row r="112" spans="1:255" s="123" customFormat="1" ht="25.5" customHeight="1">
      <c r="A112" s="216"/>
      <c r="B112" s="221"/>
      <c r="C112" s="217"/>
      <c r="D112" s="217"/>
      <c r="E112" s="218"/>
      <c r="F112" s="218"/>
      <c r="G112" s="219"/>
      <c r="H112" s="220"/>
      <c r="I112" s="219"/>
      <c r="J112" s="213"/>
      <c r="K112" s="124"/>
      <c r="L112" s="214"/>
      <c r="M112" s="215"/>
      <c r="N112" s="215"/>
      <c r="O112" s="215"/>
      <c r="P112" s="215"/>
      <c r="Q112" s="215"/>
      <c r="R112" s="215"/>
      <c r="S112" s="215"/>
      <c r="T112" s="126" t="s">
        <v>405</v>
      </c>
      <c r="U112" s="112"/>
      <c r="V112" s="112"/>
      <c r="W112" s="112" t="s">
        <v>395</v>
      </c>
      <c r="X112" s="122">
        <v>1</v>
      </c>
      <c r="Y112" s="120"/>
      <c r="Z112" s="124"/>
      <c r="AA112" s="121">
        <v>0</v>
      </c>
      <c r="AB112" s="122">
        <f t="shared" ref="AB112:AB118" si="6">X112*Y112*AA112</f>
        <v>0</v>
      </c>
      <c r="AC112" s="212"/>
      <c r="AD112" s="212"/>
    </row>
    <row r="113" spans="1:255" s="123" customFormat="1" ht="63" customHeight="1">
      <c r="A113" s="216"/>
      <c r="B113" s="221"/>
      <c r="C113" s="217"/>
      <c r="D113" s="217"/>
      <c r="E113" s="218"/>
      <c r="F113" s="218"/>
      <c r="G113" s="219"/>
      <c r="H113" s="220"/>
      <c r="I113" s="219"/>
      <c r="J113" s="213"/>
      <c r="K113" s="124"/>
      <c r="L113" s="214"/>
      <c r="M113" s="215"/>
      <c r="N113" s="215"/>
      <c r="O113" s="215"/>
      <c r="P113" s="215"/>
      <c r="Q113" s="215"/>
      <c r="R113" s="215"/>
      <c r="S113" s="215"/>
      <c r="T113" s="140" t="s">
        <v>560</v>
      </c>
      <c r="U113" s="96"/>
      <c r="V113" s="125"/>
      <c r="W113" s="96" t="s">
        <v>7</v>
      </c>
      <c r="X113" s="144">
        <v>3.66</v>
      </c>
      <c r="Y113" s="97"/>
      <c r="Z113" s="124"/>
      <c r="AA113" s="121">
        <v>0</v>
      </c>
      <c r="AB113" s="120">
        <v>0</v>
      </c>
      <c r="AC113" s="212"/>
      <c r="AD113" s="212"/>
    </row>
    <row r="114" spans="1:255" s="123" customFormat="1" ht="33.75" customHeight="1">
      <c r="A114" s="216"/>
      <c r="B114" s="221"/>
      <c r="C114" s="217"/>
      <c r="D114" s="217"/>
      <c r="E114" s="218"/>
      <c r="F114" s="218"/>
      <c r="G114" s="219"/>
      <c r="H114" s="220"/>
      <c r="I114" s="219"/>
      <c r="J114" s="213"/>
      <c r="K114" s="124"/>
      <c r="L114" s="214"/>
      <c r="M114" s="215"/>
      <c r="N114" s="215"/>
      <c r="O114" s="215"/>
      <c r="P114" s="215"/>
      <c r="Q114" s="215"/>
      <c r="R114" s="215"/>
      <c r="S114" s="215"/>
      <c r="T114" s="94" t="s">
        <v>561</v>
      </c>
      <c r="U114" s="129"/>
      <c r="V114" s="125"/>
      <c r="W114" s="96" t="s">
        <v>6</v>
      </c>
      <c r="X114" s="122" t="s">
        <v>562</v>
      </c>
      <c r="Y114" s="97"/>
      <c r="Z114" s="124"/>
      <c r="AA114" s="121">
        <v>0</v>
      </c>
      <c r="AB114" s="120">
        <v>0</v>
      </c>
      <c r="AC114" s="212"/>
      <c r="AD114" s="212"/>
    </row>
    <row r="115" spans="1:255" s="123" customFormat="1" ht="27.75" customHeight="1">
      <c r="A115" s="216">
        <v>7</v>
      </c>
      <c r="B115" s="217" t="s">
        <v>563</v>
      </c>
      <c r="C115" s="217">
        <v>64</v>
      </c>
      <c r="D115" s="217">
        <v>542</v>
      </c>
      <c r="E115" s="218">
        <v>26.4</v>
      </c>
      <c r="F115" s="218" t="s">
        <v>26</v>
      </c>
      <c r="G115" s="220">
        <v>306</v>
      </c>
      <c r="H115" s="220"/>
      <c r="I115" s="220">
        <v>26.4</v>
      </c>
      <c r="J115" s="213">
        <v>1260</v>
      </c>
      <c r="K115" s="124"/>
      <c r="L115" s="214">
        <f>I115/J115*100</f>
        <v>2.0952380952380953</v>
      </c>
      <c r="M115" s="215">
        <f>IF(L115&lt;10,2,IF(L115&lt;20,3,IF(L115&lt;30,5,IF(L115&gt;=70,12,IF(L115&gt;=30,6)))))</f>
        <v>2</v>
      </c>
      <c r="N115" s="215">
        <v>1</v>
      </c>
      <c r="O115" s="215">
        <f>$O$6</f>
        <v>80000</v>
      </c>
      <c r="P115" s="215">
        <f>I115*O115</f>
        <v>2112000</v>
      </c>
      <c r="Q115" s="215">
        <f>$Q$6*I115</f>
        <v>6336000</v>
      </c>
      <c r="R115" s="215">
        <f>M115*N115*$R$6</f>
        <v>1020000</v>
      </c>
      <c r="S115" s="215">
        <f>R115+Q115+P115</f>
        <v>9468000</v>
      </c>
      <c r="T115" s="94" t="s">
        <v>564</v>
      </c>
      <c r="U115" s="129">
        <v>4</v>
      </c>
      <c r="V115" s="127">
        <f>I115/U115</f>
        <v>6.6</v>
      </c>
      <c r="W115" s="129" t="s">
        <v>392</v>
      </c>
      <c r="X115" s="120">
        <v>9</v>
      </c>
      <c r="Y115" s="120"/>
      <c r="Z115" s="124"/>
      <c r="AA115" s="121"/>
      <c r="AB115" s="122"/>
      <c r="AC115" s="212">
        <f>SUM(AB115:AB118)</f>
        <v>1600000</v>
      </c>
      <c r="AD115" s="212">
        <f>AC115+S115</f>
        <v>11068000</v>
      </c>
      <c r="AE115" s="239" t="s">
        <v>497</v>
      </c>
    </row>
    <row r="116" spans="1:255" s="123" customFormat="1" ht="35.25" customHeight="1">
      <c r="A116" s="216"/>
      <c r="B116" s="217"/>
      <c r="C116" s="217"/>
      <c r="D116" s="217"/>
      <c r="E116" s="218"/>
      <c r="F116" s="218"/>
      <c r="G116" s="220"/>
      <c r="H116" s="220"/>
      <c r="I116" s="220"/>
      <c r="J116" s="213"/>
      <c r="K116" s="124"/>
      <c r="L116" s="214"/>
      <c r="M116" s="215"/>
      <c r="N116" s="215"/>
      <c r="O116" s="215"/>
      <c r="P116" s="215"/>
      <c r="Q116" s="215"/>
      <c r="R116" s="215"/>
      <c r="S116" s="215"/>
      <c r="T116" s="133" t="s">
        <v>399</v>
      </c>
      <c r="U116" s="129"/>
      <c r="V116" s="125"/>
      <c r="W116" s="129" t="s">
        <v>392</v>
      </c>
      <c r="X116" s="120">
        <v>7</v>
      </c>
      <c r="Y116" s="120">
        <v>200000</v>
      </c>
      <c r="Z116" s="124"/>
      <c r="AA116" s="121">
        <v>1</v>
      </c>
      <c r="AB116" s="122">
        <f t="shared" si="6"/>
        <v>1400000</v>
      </c>
      <c r="AC116" s="212"/>
      <c r="AD116" s="212"/>
      <c r="AE116" s="240"/>
    </row>
    <row r="117" spans="1:255" s="123" customFormat="1" ht="35.25" customHeight="1">
      <c r="A117" s="216"/>
      <c r="B117" s="217"/>
      <c r="C117" s="217"/>
      <c r="D117" s="217"/>
      <c r="E117" s="218"/>
      <c r="F117" s="218"/>
      <c r="G117" s="220"/>
      <c r="H117" s="220"/>
      <c r="I117" s="220"/>
      <c r="J117" s="213"/>
      <c r="K117" s="124"/>
      <c r="L117" s="214"/>
      <c r="M117" s="215"/>
      <c r="N117" s="215"/>
      <c r="O117" s="215"/>
      <c r="P117" s="215"/>
      <c r="Q117" s="215"/>
      <c r="R117" s="215"/>
      <c r="S117" s="215"/>
      <c r="T117" s="133" t="s">
        <v>401</v>
      </c>
      <c r="U117" s="129"/>
      <c r="V117" s="120">
        <f>X116*0.3</f>
        <v>2.1</v>
      </c>
      <c r="W117" s="129" t="s">
        <v>392</v>
      </c>
      <c r="X117" s="120">
        <v>2</v>
      </c>
      <c r="Y117" s="120">
        <v>200000</v>
      </c>
      <c r="Z117" s="124"/>
      <c r="AA117" s="128">
        <v>0.5</v>
      </c>
      <c r="AB117" s="122">
        <f t="shared" si="6"/>
        <v>200000</v>
      </c>
      <c r="AC117" s="212"/>
      <c r="AD117" s="212"/>
      <c r="AE117" s="240"/>
    </row>
    <row r="118" spans="1:255" s="123" customFormat="1" ht="35.25" customHeight="1">
      <c r="A118" s="216"/>
      <c r="B118" s="217"/>
      <c r="C118" s="217"/>
      <c r="D118" s="217"/>
      <c r="E118" s="218"/>
      <c r="F118" s="218"/>
      <c r="G118" s="220"/>
      <c r="H118" s="220"/>
      <c r="I118" s="220"/>
      <c r="J118" s="213"/>
      <c r="K118" s="124"/>
      <c r="L118" s="214"/>
      <c r="M118" s="215"/>
      <c r="N118" s="215"/>
      <c r="O118" s="215"/>
      <c r="P118" s="215"/>
      <c r="Q118" s="215"/>
      <c r="R118" s="215"/>
      <c r="S118" s="215"/>
      <c r="T118" s="126" t="s">
        <v>565</v>
      </c>
      <c r="U118" s="112"/>
      <c r="V118" s="112"/>
      <c r="W118" s="112" t="s">
        <v>395</v>
      </c>
      <c r="X118" s="122">
        <v>1</v>
      </c>
      <c r="Y118" s="120"/>
      <c r="Z118" s="124"/>
      <c r="AA118" s="121">
        <v>0</v>
      </c>
      <c r="AB118" s="122">
        <f t="shared" si="6"/>
        <v>0</v>
      </c>
      <c r="AC118" s="212"/>
      <c r="AD118" s="212"/>
    </row>
    <row r="119" spans="1:255" s="123" customFormat="1" ht="40.5" customHeight="1">
      <c r="A119" s="216">
        <v>8</v>
      </c>
      <c r="B119" s="238" t="s">
        <v>566</v>
      </c>
      <c r="C119" s="217">
        <v>62</v>
      </c>
      <c r="D119" s="217">
        <v>470</v>
      </c>
      <c r="E119" s="218">
        <v>1439.7</v>
      </c>
      <c r="F119" s="218" t="s">
        <v>393</v>
      </c>
      <c r="G119" s="213">
        <v>1440</v>
      </c>
      <c r="H119" s="220">
        <f>E119-G119</f>
        <v>-0.29999999999995453</v>
      </c>
      <c r="I119" s="213">
        <v>1440</v>
      </c>
      <c r="J119" s="213">
        <v>1440</v>
      </c>
      <c r="K119" s="124"/>
      <c r="L119" s="214">
        <f>I119/J119*100</f>
        <v>100</v>
      </c>
      <c r="M119" s="215">
        <f>IF(L119&lt;10,2,IF(L119&lt;20,3,IF(L119&lt;30,5,IF(L119&gt;=70,12,IF(L119&gt;=30,6)))))</f>
        <v>12</v>
      </c>
      <c r="N119" s="215">
        <v>10</v>
      </c>
      <c r="O119" s="215">
        <f>$O$6</f>
        <v>80000</v>
      </c>
      <c r="P119" s="215">
        <f>I119*O119</f>
        <v>115200000</v>
      </c>
      <c r="Q119" s="215">
        <f>$Q$6*I119</f>
        <v>345600000</v>
      </c>
      <c r="R119" s="215">
        <f>M119*N119*$R$6</f>
        <v>61200000</v>
      </c>
      <c r="S119" s="215">
        <f>R119+Q119+P119</f>
        <v>522000000</v>
      </c>
      <c r="T119" s="126" t="s">
        <v>496</v>
      </c>
      <c r="U119" s="112">
        <v>25</v>
      </c>
      <c r="V119" s="127">
        <f>(G119-V135-V136-V137-V138-V139-V140)/25</f>
        <v>44.063999999999993</v>
      </c>
      <c r="W119" s="125" t="str">
        <f>'[1]bang gia'!$C$46</f>
        <v>đồng/cây</v>
      </c>
      <c r="X119" s="120">
        <v>20</v>
      </c>
      <c r="Y119" s="98"/>
      <c r="Z119" s="124"/>
      <c r="AA119" s="128"/>
      <c r="AB119" s="122"/>
      <c r="AC119" s="212">
        <f>SUM(AB119:AB146)</f>
        <v>259000000</v>
      </c>
      <c r="AD119" s="212">
        <f>AC119+S119</f>
        <v>781000000</v>
      </c>
      <c r="AE119" s="239" t="s">
        <v>567</v>
      </c>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c r="AZ119" s="130"/>
      <c r="BA119" s="130"/>
      <c r="BB119" s="130"/>
      <c r="BC119" s="130"/>
      <c r="BD119" s="130"/>
      <c r="BE119" s="130"/>
      <c r="BF119" s="130"/>
      <c r="BG119" s="130"/>
      <c r="BH119" s="130"/>
      <c r="BI119" s="130"/>
      <c r="BJ119" s="130"/>
      <c r="BK119" s="130"/>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c r="CG119" s="130"/>
      <c r="CH119" s="130"/>
      <c r="CI119" s="130"/>
      <c r="CJ119" s="130"/>
      <c r="CK119" s="130"/>
      <c r="CL119" s="130"/>
      <c r="CM119" s="130"/>
      <c r="CN119" s="130"/>
      <c r="CO119" s="130"/>
      <c r="CP119" s="130"/>
      <c r="CQ119" s="130"/>
      <c r="CR119" s="130"/>
      <c r="CS119" s="130"/>
      <c r="CT119" s="130"/>
      <c r="CU119" s="130"/>
      <c r="CV119" s="130"/>
      <c r="CW119" s="130"/>
      <c r="CX119" s="130"/>
      <c r="CY119" s="130"/>
      <c r="CZ119" s="130"/>
      <c r="DA119" s="130"/>
      <c r="DB119" s="130"/>
      <c r="DC119" s="130"/>
      <c r="DD119" s="130"/>
      <c r="DE119" s="130"/>
      <c r="DF119" s="130"/>
      <c r="DG119" s="130"/>
      <c r="DH119" s="130"/>
      <c r="DI119" s="130"/>
      <c r="DJ119" s="130"/>
      <c r="DK119" s="130"/>
      <c r="DL119" s="130"/>
      <c r="DM119" s="130"/>
      <c r="DN119" s="130"/>
      <c r="DO119" s="130"/>
      <c r="DP119" s="130"/>
      <c r="DQ119" s="130"/>
      <c r="DR119" s="130"/>
      <c r="DS119" s="130"/>
      <c r="DT119" s="130"/>
      <c r="DU119" s="130"/>
      <c r="DV119" s="130"/>
      <c r="DW119" s="130"/>
      <c r="DX119" s="130"/>
      <c r="DY119" s="130"/>
      <c r="DZ119" s="130"/>
      <c r="EA119" s="130"/>
      <c r="EB119" s="130"/>
      <c r="EC119" s="130"/>
      <c r="ED119" s="130"/>
      <c r="EE119" s="130"/>
      <c r="EF119" s="130"/>
      <c r="EG119" s="130"/>
      <c r="EH119" s="130"/>
      <c r="EI119" s="130"/>
      <c r="EJ119" s="130"/>
      <c r="EK119" s="130"/>
      <c r="EL119" s="130"/>
      <c r="EM119" s="130"/>
      <c r="EN119" s="130"/>
      <c r="EO119" s="130"/>
      <c r="EP119" s="130"/>
      <c r="EQ119" s="130"/>
      <c r="ER119" s="130"/>
      <c r="ES119" s="130"/>
      <c r="ET119" s="130"/>
      <c r="EU119" s="130"/>
      <c r="EV119" s="130"/>
      <c r="EW119" s="130"/>
      <c r="EX119" s="130"/>
      <c r="EY119" s="130"/>
      <c r="EZ119" s="130"/>
      <c r="FA119" s="130"/>
      <c r="FB119" s="130"/>
      <c r="FC119" s="130"/>
      <c r="FD119" s="130"/>
      <c r="FE119" s="130"/>
      <c r="FF119" s="130"/>
      <c r="FG119" s="130"/>
      <c r="FH119" s="130"/>
      <c r="FI119" s="130"/>
      <c r="FJ119" s="130"/>
      <c r="FK119" s="130"/>
      <c r="FL119" s="130"/>
      <c r="FM119" s="130"/>
      <c r="FN119" s="130"/>
      <c r="FO119" s="130"/>
      <c r="FP119" s="130"/>
      <c r="FQ119" s="130"/>
      <c r="FR119" s="130"/>
      <c r="FS119" s="130"/>
      <c r="FT119" s="130"/>
      <c r="FU119" s="130"/>
      <c r="FV119" s="130"/>
      <c r="FW119" s="130"/>
      <c r="FX119" s="130"/>
      <c r="FY119" s="130"/>
      <c r="FZ119" s="130"/>
      <c r="GA119" s="130"/>
      <c r="GB119" s="130"/>
      <c r="GC119" s="130"/>
      <c r="GD119" s="130"/>
      <c r="GE119" s="130"/>
      <c r="GF119" s="130"/>
      <c r="GG119" s="130"/>
      <c r="GH119" s="130"/>
      <c r="GI119" s="130"/>
      <c r="GJ119" s="130"/>
      <c r="GK119" s="130"/>
      <c r="GL119" s="130"/>
      <c r="GM119" s="130"/>
      <c r="GN119" s="130"/>
      <c r="GO119" s="130"/>
      <c r="GP119" s="130"/>
      <c r="GQ119" s="130"/>
      <c r="GR119" s="130"/>
      <c r="GS119" s="130"/>
      <c r="GT119" s="130"/>
      <c r="GU119" s="130"/>
      <c r="GV119" s="130"/>
      <c r="GW119" s="130"/>
      <c r="GX119" s="130"/>
      <c r="GY119" s="130"/>
      <c r="GZ119" s="130"/>
      <c r="HA119" s="130"/>
      <c r="HB119" s="130"/>
      <c r="HC119" s="130"/>
      <c r="HD119" s="130"/>
      <c r="HE119" s="130"/>
      <c r="HF119" s="130"/>
      <c r="HG119" s="130"/>
      <c r="HH119" s="130"/>
      <c r="HI119" s="130"/>
      <c r="HJ119" s="130"/>
      <c r="HK119" s="130"/>
      <c r="HL119" s="130"/>
      <c r="HM119" s="130"/>
      <c r="HN119" s="130"/>
      <c r="HO119" s="130"/>
      <c r="HP119" s="130"/>
      <c r="HQ119" s="130"/>
      <c r="HR119" s="130"/>
      <c r="HS119" s="130"/>
      <c r="HT119" s="130"/>
      <c r="HU119" s="130"/>
      <c r="HV119" s="130"/>
      <c r="HW119" s="130"/>
      <c r="HX119" s="130"/>
      <c r="HY119" s="130"/>
      <c r="HZ119" s="130"/>
      <c r="IA119" s="130"/>
      <c r="IB119" s="130"/>
      <c r="IC119" s="130"/>
      <c r="ID119" s="130"/>
      <c r="IE119" s="130"/>
      <c r="IF119" s="130"/>
      <c r="IG119" s="130"/>
      <c r="IH119" s="130"/>
      <c r="II119" s="130"/>
      <c r="IJ119" s="130"/>
      <c r="IK119" s="130"/>
      <c r="IL119" s="130"/>
      <c r="IM119" s="130"/>
      <c r="IN119" s="130"/>
      <c r="IO119" s="130"/>
      <c r="IP119" s="130"/>
      <c r="IQ119" s="130"/>
      <c r="IR119" s="130"/>
      <c r="IS119" s="130"/>
      <c r="IT119" s="130"/>
      <c r="IU119" s="130"/>
    </row>
    <row r="120" spans="1:255" s="123" customFormat="1" ht="24.75" customHeight="1">
      <c r="A120" s="216"/>
      <c r="B120" s="238"/>
      <c r="C120" s="217"/>
      <c r="D120" s="217"/>
      <c r="E120" s="218"/>
      <c r="F120" s="218"/>
      <c r="G120" s="213"/>
      <c r="H120" s="220"/>
      <c r="I120" s="213"/>
      <c r="J120" s="213"/>
      <c r="K120" s="124"/>
      <c r="L120" s="214"/>
      <c r="M120" s="215"/>
      <c r="N120" s="215"/>
      <c r="O120" s="215"/>
      <c r="P120" s="215"/>
      <c r="Q120" s="215"/>
      <c r="R120" s="215"/>
      <c r="S120" s="215"/>
      <c r="T120" s="133" t="s">
        <v>399</v>
      </c>
      <c r="U120" s="112"/>
      <c r="V120" s="127"/>
      <c r="W120" s="125" t="str">
        <f>'[1]bang gia'!$C$46</f>
        <v>đồng/cây</v>
      </c>
      <c r="X120" s="120">
        <v>20</v>
      </c>
      <c r="Y120" s="98">
        <v>4500000</v>
      </c>
      <c r="Z120" s="124"/>
      <c r="AA120" s="128">
        <v>1</v>
      </c>
      <c r="AB120" s="122">
        <f>X120*Y120*AA120</f>
        <v>90000000</v>
      </c>
      <c r="AC120" s="212"/>
      <c r="AD120" s="212"/>
      <c r="AE120" s="240"/>
      <c r="AF120" s="130"/>
      <c r="AG120" s="130"/>
      <c r="AH120" s="130"/>
      <c r="AI120" s="130"/>
      <c r="AJ120" s="130"/>
      <c r="AK120" s="130"/>
      <c r="AL120" s="130"/>
      <c r="AM120" s="130"/>
      <c r="AN120" s="130"/>
      <c r="AO120" s="130"/>
      <c r="AP120" s="130"/>
      <c r="AQ120" s="130"/>
      <c r="AR120" s="130"/>
      <c r="AS120" s="130"/>
      <c r="AT120" s="130"/>
      <c r="AU120" s="130"/>
      <c r="AV120" s="130"/>
      <c r="AW120" s="130"/>
      <c r="AX120" s="130"/>
      <c r="AY120" s="130"/>
      <c r="AZ120" s="130"/>
      <c r="BA120" s="130"/>
      <c r="BB120" s="130"/>
      <c r="BC120" s="130"/>
      <c r="BD120" s="130"/>
      <c r="BE120" s="130"/>
      <c r="BF120" s="130"/>
      <c r="BG120" s="130"/>
      <c r="BH120" s="130"/>
      <c r="BI120" s="130"/>
      <c r="BJ120" s="130"/>
      <c r="BK120" s="130"/>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c r="CG120" s="130"/>
      <c r="CH120" s="130"/>
      <c r="CI120" s="130"/>
      <c r="CJ120" s="130"/>
      <c r="CK120" s="130"/>
      <c r="CL120" s="130"/>
      <c r="CM120" s="130"/>
      <c r="CN120" s="130"/>
      <c r="CO120" s="130"/>
      <c r="CP120" s="130"/>
      <c r="CQ120" s="130"/>
      <c r="CR120" s="130"/>
      <c r="CS120" s="130"/>
      <c r="CT120" s="130"/>
      <c r="CU120" s="130"/>
      <c r="CV120" s="130"/>
      <c r="CW120" s="130"/>
      <c r="CX120" s="130"/>
      <c r="CY120" s="130"/>
      <c r="CZ120" s="130"/>
      <c r="DA120" s="130"/>
      <c r="DB120" s="130"/>
      <c r="DC120" s="130"/>
      <c r="DD120" s="130"/>
      <c r="DE120" s="130"/>
      <c r="DF120" s="130"/>
      <c r="DG120" s="130"/>
      <c r="DH120" s="130"/>
      <c r="DI120" s="130"/>
      <c r="DJ120" s="130"/>
      <c r="DK120" s="130"/>
      <c r="DL120" s="130"/>
      <c r="DM120" s="130"/>
      <c r="DN120" s="130"/>
      <c r="DO120" s="130"/>
      <c r="DP120" s="130"/>
      <c r="DQ120" s="130"/>
      <c r="DR120" s="130"/>
      <c r="DS120" s="130"/>
      <c r="DT120" s="130"/>
      <c r="DU120" s="130"/>
      <c r="DV120" s="130"/>
      <c r="DW120" s="130"/>
      <c r="DX120" s="130"/>
      <c r="DY120" s="130"/>
      <c r="DZ120" s="130"/>
      <c r="EA120" s="130"/>
      <c r="EB120" s="130"/>
      <c r="EC120" s="130"/>
      <c r="ED120" s="130"/>
      <c r="EE120" s="130"/>
      <c r="EF120" s="130"/>
      <c r="EG120" s="130"/>
      <c r="EH120" s="130"/>
      <c r="EI120" s="130"/>
      <c r="EJ120" s="130"/>
      <c r="EK120" s="130"/>
      <c r="EL120" s="130"/>
      <c r="EM120" s="130"/>
      <c r="EN120" s="130"/>
      <c r="EO120" s="130"/>
      <c r="EP120" s="130"/>
      <c r="EQ120" s="130"/>
      <c r="ER120" s="130"/>
      <c r="ES120" s="130"/>
      <c r="ET120" s="130"/>
      <c r="EU120" s="130"/>
      <c r="EV120" s="130"/>
      <c r="EW120" s="130"/>
      <c r="EX120" s="130"/>
      <c r="EY120" s="130"/>
      <c r="EZ120" s="130"/>
      <c r="FA120" s="130"/>
      <c r="FB120" s="130"/>
      <c r="FC120" s="130"/>
      <c r="FD120" s="130"/>
      <c r="FE120" s="130"/>
      <c r="FF120" s="130"/>
      <c r="FG120" s="130"/>
      <c r="FH120" s="130"/>
      <c r="FI120" s="130"/>
      <c r="FJ120" s="130"/>
      <c r="FK120" s="130"/>
      <c r="FL120" s="130"/>
      <c r="FM120" s="130"/>
      <c r="FN120" s="130"/>
      <c r="FO120" s="130"/>
      <c r="FP120" s="130"/>
      <c r="FQ120" s="130"/>
      <c r="FR120" s="130"/>
      <c r="FS120" s="130"/>
      <c r="FT120" s="130"/>
      <c r="FU120" s="130"/>
      <c r="FV120" s="130"/>
      <c r="FW120" s="130"/>
      <c r="FX120" s="130"/>
      <c r="FY120" s="130"/>
      <c r="FZ120" s="130"/>
      <c r="GA120" s="130"/>
      <c r="GB120" s="130"/>
      <c r="GC120" s="130"/>
      <c r="GD120" s="130"/>
      <c r="GE120" s="130"/>
      <c r="GF120" s="130"/>
      <c r="GG120" s="130"/>
      <c r="GH120" s="130"/>
      <c r="GI120" s="130"/>
      <c r="GJ120" s="130"/>
      <c r="GK120" s="130"/>
      <c r="GL120" s="130"/>
      <c r="GM120" s="130"/>
      <c r="GN120" s="130"/>
      <c r="GO120" s="130"/>
      <c r="GP120" s="130"/>
      <c r="GQ120" s="130"/>
      <c r="GR120" s="130"/>
      <c r="GS120" s="130"/>
      <c r="GT120" s="130"/>
      <c r="GU120" s="130"/>
      <c r="GV120" s="130"/>
      <c r="GW120" s="130"/>
      <c r="GX120" s="130"/>
      <c r="GY120" s="130"/>
      <c r="GZ120" s="130"/>
      <c r="HA120" s="130"/>
      <c r="HB120" s="130"/>
      <c r="HC120" s="130"/>
      <c r="HD120" s="130"/>
      <c r="HE120" s="130"/>
      <c r="HF120" s="130"/>
      <c r="HG120" s="130"/>
      <c r="HH120" s="130"/>
      <c r="HI120" s="130"/>
      <c r="HJ120" s="130"/>
      <c r="HK120" s="130"/>
      <c r="HL120" s="130"/>
      <c r="HM120" s="130"/>
      <c r="HN120" s="130"/>
      <c r="HO120" s="130"/>
      <c r="HP120" s="130"/>
      <c r="HQ120" s="130"/>
      <c r="HR120" s="130"/>
      <c r="HS120" s="130"/>
      <c r="HT120" s="130"/>
      <c r="HU120" s="130"/>
      <c r="HV120" s="130"/>
      <c r="HW120" s="130"/>
      <c r="HX120" s="130"/>
      <c r="HY120" s="130"/>
      <c r="HZ120" s="130"/>
      <c r="IA120" s="130"/>
      <c r="IB120" s="130"/>
      <c r="IC120" s="130"/>
      <c r="ID120" s="130"/>
      <c r="IE120" s="130"/>
      <c r="IF120" s="130"/>
      <c r="IG120" s="130"/>
      <c r="IH120" s="130"/>
      <c r="II120" s="130"/>
      <c r="IJ120" s="130"/>
      <c r="IK120" s="130"/>
      <c r="IL120" s="130"/>
      <c r="IM120" s="130"/>
      <c r="IN120" s="130"/>
      <c r="IO120" s="130"/>
      <c r="IP120" s="130"/>
      <c r="IQ120" s="130"/>
      <c r="IR120" s="130"/>
      <c r="IS120" s="130"/>
      <c r="IT120" s="130"/>
      <c r="IU120" s="130"/>
    </row>
    <row r="121" spans="1:255" s="123" customFormat="1" ht="39" customHeight="1">
      <c r="A121" s="216"/>
      <c r="B121" s="238"/>
      <c r="C121" s="217"/>
      <c r="D121" s="217"/>
      <c r="E121" s="218"/>
      <c r="F121" s="218"/>
      <c r="G121" s="213"/>
      <c r="H121" s="220"/>
      <c r="I121" s="213"/>
      <c r="J121" s="213"/>
      <c r="K121" s="124"/>
      <c r="L121" s="214"/>
      <c r="M121" s="215"/>
      <c r="N121" s="215"/>
      <c r="O121" s="215"/>
      <c r="P121" s="215"/>
      <c r="Q121" s="215"/>
      <c r="R121" s="215"/>
      <c r="S121" s="215"/>
      <c r="T121" s="126" t="s">
        <v>568</v>
      </c>
      <c r="U121" s="112"/>
      <c r="V121" s="125"/>
      <c r="W121" s="125" t="str">
        <f>'[1]bang gia'!$C$45</f>
        <v>đồng/cây</v>
      </c>
      <c r="X121" s="120">
        <v>18</v>
      </c>
      <c r="Y121" s="98"/>
      <c r="Z121" s="124"/>
      <c r="AA121" s="128"/>
      <c r="AB121" s="122"/>
      <c r="AC121" s="212"/>
      <c r="AD121" s="212"/>
      <c r="AE121" s="240"/>
    </row>
    <row r="122" spans="1:255" s="123" customFormat="1" ht="24.75" customHeight="1">
      <c r="A122" s="216"/>
      <c r="B122" s="238"/>
      <c r="C122" s="217"/>
      <c r="D122" s="217"/>
      <c r="E122" s="218"/>
      <c r="F122" s="218"/>
      <c r="G122" s="213"/>
      <c r="H122" s="220"/>
      <c r="I122" s="213"/>
      <c r="J122" s="213"/>
      <c r="K122" s="124"/>
      <c r="L122" s="214"/>
      <c r="M122" s="215"/>
      <c r="N122" s="215"/>
      <c r="O122" s="215"/>
      <c r="P122" s="215"/>
      <c r="Q122" s="215"/>
      <c r="R122" s="215"/>
      <c r="S122" s="215"/>
      <c r="T122" s="133" t="s">
        <v>399</v>
      </c>
      <c r="U122" s="112"/>
      <c r="V122" s="125"/>
      <c r="W122" s="125" t="str">
        <f>'[1]bang gia'!$C$46</f>
        <v>đồng/cây</v>
      </c>
      <c r="X122" s="120">
        <v>18</v>
      </c>
      <c r="Y122" s="98">
        <v>4500000</v>
      </c>
      <c r="Z122" s="124"/>
      <c r="AA122" s="128">
        <v>1</v>
      </c>
      <c r="AB122" s="122">
        <f>X122*Y122*AA122</f>
        <v>81000000</v>
      </c>
      <c r="AC122" s="212"/>
      <c r="AD122" s="212"/>
      <c r="AE122" s="240"/>
    </row>
    <row r="123" spans="1:255" s="123" customFormat="1" ht="40.5" customHeight="1">
      <c r="A123" s="216"/>
      <c r="B123" s="238"/>
      <c r="C123" s="217"/>
      <c r="D123" s="217"/>
      <c r="E123" s="218"/>
      <c r="F123" s="218"/>
      <c r="G123" s="213"/>
      <c r="H123" s="220"/>
      <c r="I123" s="213"/>
      <c r="J123" s="213"/>
      <c r="K123" s="124"/>
      <c r="L123" s="214"/>
      <c r="M123" s="215"/>
      <c r="N123" s="215"/>
      <c r="O123" s="215"/>
      <c r="P123" s="215"/>
      <c r="Q123" s="215"/>
      <c r="R123" s="215"/>
      <c r="S123" s="215"/>
      <c r="T123" s="94" t="s">
        <v>569</v>
      </c>
      <c r="U123" s="129">
        <v>20</v>
      </c>
      <c r="V123" s="127">
        <f>(G119-V135-V136-V137-V138-V139-V140)/20</f>
        <v>55.08</v>
      </c>
      <c r="W123" s="129" t="s">
        <v>2</v>
      </c>
      <c r="X123" s="120">
        <v>37</v>
      </c>
      <c r="Y123" s="98"/>
      <c r="Z123" s="124"/>
      <c r="AA123" s="128"/>
      <c r="AB123" s="122"/>
      <c r="AC123" s="212"/>
      <c r="AD123" s="212"/>
      <c r="AE123" s="240"/>
    </row>
    <row r="124" spans="1:255" s="123" customFormat="1" ht="24.75" customHeight="1">
      <c r="A124" s="216"/>
      <c r="B124" s="238"/>
      <c r="C124" s="217"/>
      <c r="D124" s="217"/>
      <c r="E124" s="218"/>
      <c r="F124" s="218"/>
      <c r="G124" s="213"/>
      <c r="H124" s="220"/>
      <c r="I124" s="213"/>
      <c r="J124" s="213"/>
      <c r="K124" s="124"/>
      <c r="L124" s="214"/>
      <c r="M124" s="215"/>
      <c r="N124" s="215"/>
      <c r="O124" s="215"/>
      <c r="P124" s="215"/>
      <c r="Q124" s="215"/>
      <c r="R124" s="215"/>
      <c r="S124" s="215"/>
      <c r="T124" s="133" t="s">
        <v>399</v>
      </c>
      <c r="U124" s="129"/>
      <c r="V124" s="125"/>
      <c r="W124" s="129" t="s">
        <v>2</v>
      </c>
      <c r="X124" s="120">
        <v>37</v>
      </c>
      <c r="Y124" s="98">
        <v>2000000</v>
      </c>
      <c r="Z124" s="124"/>
      <c r="AA124" s="128">
        <v>0.5</v>
      </c>
      <c r="AB124" s="122">
        <f>X124*Y124*AA124</f>
        <v>37000000</v>
      </c>
      <c r="AC124" s="212"/>
      <c r="AD124" s="212"/>
      <c r="AE124" s="123">
        <v>1440</v>
      </c>
    </row>
    <row r="125" spans="1:255" s="123" customFormat="1" ht="36.75" customHeight="1">
      <c r="A125" s="216"/>
      <c r="B125" s="238"/>
      <c r="C125" s="217"/>
      <c r="D125" s="217"/>
      <c r="E125" s="218"/>
      <c r="F125" s="218"/>
      <c r="G125" s="213"/>
      <c r="H125" s="220"/>
      <c r="I125" s="213"/>
      <c r="J125" s="213"/>
      <c r="K125" s="124"/>
      <c r="L125" s="214"/>
      <c r="M125" s="215"/>
      <c r="N125" s="215"/>
      <c r="O125" s="215"/>
      <c r="P125" s="215"/>
      <c r="Q125" s="215"/>
      <c r="R125" s="215"/>
      <c r="S125" s="215"/>
      <c r="T125" s="94" t="s">
        <v>570</v>
      </c>
      <c r="U125" s="129"/>
      <c r="V125" s="125"/>
      <c r="W125" s="129" t="s">
        <v>2</v>
      </c>
      <c r="X125" s="120">
        <v>8</v>
      </c>
      <c r="Y125" s="98"/>
      <c r="Z125" s="124"/>
      <c r="AA125" s="128"/>
      <c r="AB125" s="122"/>
      <c r="AC125" s="212"/>
      <c r="AD125" s="212"/>
      <c r="AE125" s="123">
        <v>338.4</v>
      </c>
    </row>
    <row r="126" spans="1:255" s="123" customFormat="1" ht="25.5" customHeight="1">
      <c r="A126" s="216"/>
      <c r="B126" s="238"/>
      <c r="C126" s="217"/>
      <c r="D126" s="217"/>
      <c r="E126" s="218"/>
      <c r="F126" s="218"/>
      <c r="G126" s="213"/>
      <c r="H126" s="220"/>
      <c r="I126" s="213"/>
      <c r="J126" s="213"/>
      <c r="K126" s="124"/>
      <c r="L126" s="214"/>
      <c r="M126" s="215"/>
      <c r="N126" s="215"/>
      <c r="O126" s="215"/>
      <c r="P126" s="215"/>
      <c r="Q126" s="215"/>
      <c r="R126" s="215"/>
      <c r="S126" s="215"/>
      <c r="T126" s="133" t="s">
        <v>399</v>
      </c>
      <c r="U126" s="129"/>
      <c r="V126" s="125"/>
      <c r="W126" s="129" t="s">
        <v>2</v>
      </c>
      <c r="X126" s="120">
        <v>8</v>
      </c>
      <c r="Y126" s="98">
        <v>2000000</v>
      </c>
      <c r="Z126" s="124"/>
      <c r="AA126" s="128">
        <v>0.5</v>
      </c>
      <c r="AB126" s="122">
        <f>X126*Y126*AA126</f>
        <v>8000000</v>
      </c>
      <c r="AC126" s="212"/>
      <c r="AD126" s="212"/>
      <c r="AE126" s="123">
        <f>AE124-AE125</f>
        <v>1101.5999999999999</v>
      </c>
    </row>
    <row r="127" spans="1:255" s="123" customFormat="1" ht="35.25" customHeight="1">
      <c r="A127" s="216"/>
      <c r="B127" s="238"/>
      <c r="C127" s="217"/>
      <c r="D127" s="217"/>
      <c r="E127" s="218"/>
      <c r="F127" s="218"/>
      <c r="G127" s="213"/>
      <c r="H127" s="220"/>
      <c r="I127" s="213"/>
      <c r="J127" s="213"/>
      <c r="K127" s="124"/>
      <c r="L127" s="214"/>
      <c r="M127" s="215"/>
      <c r="N127" s="215"/>
      <c r="O127" s="215"/>
      <c r="P127" s="215"/>
      <c r="Q127" s="215"/>
      <c r="R127" s="215"/>
      <c r="S127" s="215"/>
      <c r="T127" s="94" t="s">
        <v>571</v>
      </c>
      <c r="U127" s="129">
        <v>25</v>
      </c>
      <c r="V127" s="127">
        <f>(G119-V135-V136-V137-V138-V139-V140)/25</f>
        <v>44.063999999999993</v>
      </c>
      <c r="W127" s="125" t="str">
        <f>'[1]bang gia'!$C$46</f>
        <v>đồng/cây</v>
      </c>
      <c r="X127" s="120">
        <v>30</v>
      </c>
      <c r="Y127" s="98"/>
      <c r="Z127" s="124"/>
      <c r="AA127" s="128"/>
      <c r="AB127" s="122"/>
      <c r="AC127" s="212"/>
      <c r="AD127" s="212"/>
    </row>
    <row r="128" spans="1:255" s="123" customFormat="1" ht="24.75" customHeight="1">
      <c r="A128" s="216"/>
      <c r="B128" s="238"/>
      <c r="C128" s="217"/>
      <c r="D128" s="217"/>
      <c r="E128" s="218"/>
      <c r="F128" s="218"/>
      <c r="G128" s="213"/>
      <c r="H128" s="220"/>
      <c r="I128" s="213"/>
      <c r="J128" s="213"/>
      <c r="K128" s="124"/>
      <c r="L128" s="214"/>
      <c r="M128" s="215"/>
      <c r="N128" s="215"/>
      <c r="O128" s="215"/>
      <c r="P128" s="215"/>
      <c r="Q128" s="215"/>
      <c r="R128" s="215"/>
      <c r="S128" s="215"/>
      <c r="T128" s="133" t="s">
        <v>399</v>
      </c>
      <c r="U128" s="129"/>
      <c r="V128" s="125"/>
      <c r="W128" s="125" t="str">
        <f>'[1]bang gia'!$C$46</f>
        <v>đồng/cây</v>
      </c>
      <c r="X128" s="120">
        <v>30</v>
      </c>
      <c r="Y128" s="98">
        <v>500000</v>
      </c>
      <c r="Z128" s="124"/>
      <c r="AA128" s="128">
        <v>0.5</v>
      </c>
      <c r="AB128" s="122">
        <f>X128*Y128*AA128</f>
        <v>7500000</v>
      </c>
      <c r="AC128" s="212"/>
      <c r="AD128" s="212"/>
    </row>
    <row r="129" spans="1:30" s="123" customFormat="1" ht="35.25" customHeight="1">
      <c r="A129" s="216"/>
      <c r="B129" s="238"/>
      <c r="C129" s="217"/>
      <c r="D129" s="217"/>
      <c r="E129" s="218"/>
      <c r="F129" s="218"/>
      <c r="G129" s="213"/>
      <c r="H129" s="220"/>
      <c r="I129" s="213"/>
      <c r="J129" s="213"/>
      <c r="K129" s="124"/>
      <c r="L129" s="214"/>
      <c r="M129" s="215"/>
      <c r="N129" s="215"/>
      <c r="O129" s="215"/>
      <c r="P129" s="215"/>
      <c r="Q129" s="215"/>
      <c r="R129" s="215"/>
      <c r="S129" s="215"/>
      <c r="T129" s="94" t="s">
        <v>572</v>
      </c>
      <c r="U129" s="129">
        <v>25</v>
      </c>
      <c r="V129" s="147">
        <f>AE126/U129</f>
        <v>44.063999999999993</v>
      </c>
      <c r="W129" s="125" t="str">
        <f>'[1]bang gia'!$C$46</f>
        <v>đồng/cây</v>
      </c>
      <c r="X129" s="120">
        <v>25</v>
      </c>
      <c r="Y129" s="98"/>
      <c r="Z129" s="124"/>
      <c r="AA129" s="128"/>
      <c r="AB129" s="122"/>
      <c r="AC129" s="212"/>
      <c r="AD129" s="212"/>
    </row>
    <row r="130" spans="1:30" s="123" customFormat="1" ht="24" customHeight="1">
      <c r="A130" s="216"/>
      <c r="B130" s="238"/>
      <c r="C130" s="217"/>
      <c r="D130" s="217"/>
      <c r="E130" s="218"/>
      <c r="F130" s="218"/>
      <c r="G130" s="213"/>
      <c r="H130" s="220"/>
      <c r="I130" s="213"/>
      <c r="J130" s="213"/>
      <c r="K130" s="124"/>
      <c r="L130" s="214"/>
      <c r="M130" s="215"/>
      <c r="N130" s="215"/>
      <c r="O130" s="215"/>
      <c r="P130" s="215"/>
      <c r="Q130" s="215"/>
      <c r="R130" s="215"/>
      <c r="S130" s="215"/>
      <c r="T130" s="133" t="s">
        <v>399</v>
      </c>
      <c r="U130" s="129"/>
      <c r="V130" s="125"/>
      <c r="W130" s="125" t="str">
        <f>'[1]bang gia'!$C$46</f>
        <v>đồng/cây</v>
      </c>
      <c r="X130" s="120">
        <v>25</v>
      </c>
      <c r="Y130" s="98">
        <v>1500000</v>
      </c>
      <c r="Z130" s="124"/>
      <c r="AA130" s="128">
        <v>0.5</v>
      </c>
      <c r="AB130" s="122">
        <f>X130*Y130*AA130</f>
        <v>18750000</v>
      </c>
      <c r="AC130" s="212"/>
      <c r="AD130" s="212"/>
    </row>
    <row r="131" spans="1:30" s="123" customFormat="1" ht="36.75" customHeight="1">
      <c r="A131" s="216"/>
      <c r="B131" s="238"/>
      <c r="C131" s="217"/>
      <c r="D131" s="217"/>
      <c r="E131" s="218"/>
      <c r="F131" s="218"/>
      <c r="G131" s="213"/>
      <c r="H131" s="220"/>
      <c r="I131" s="213"/>
      <c r="J131" s="213"/>
      <c r="K131" s="124"/>
      <c r="L131" s="214"/>
      <c r="M131" s="215"/>
      <c r="N131" s="215"/>
      <c r="O131" s="215"/>
      <c r="P131" s="215"/>
      <c r="Q131" s="215"/>
      <c r="R131" s="215"/>
      <c r="S131" s="215"/>
      <c r="T131" s="94" t="s">
        <v>573</v>
      </c>
      <c r="U131" s="129">
        <v>4</v>
      </c>
      <c r="V131" s="125">
        <f>AE126/U131</f>
        <v>275.39999999999998</v>
      </c>
      <c r="W131" s="129" t="s">
        <v>2</v>
      </c>
      <c r="X131" s="120">
        <v>130</v>
      </c>
      <c r="Y131" s="98"/>
      <c r="Z131" s="124"/>
      <c r="AA131" s="128"/>
      <c r="AB131" s="122"/>
      <c r="AC131" s="212"/>
      <c r="AD131" s="212"/>
    </row>
    <row r="132" spans="1:30" s="123" customFormat="1" ht="24.75" customHeight="1">
      <c r="A132" s="216"/>
      <c r="B132" s="238"/>
      <c r="C132" s="217"/>
      <c r="D132" s="217"/>
      <c r="E132" s="218"/>
      <c r="F132" s="218"/>
      <c r="G132" s="213"/>
      <c r="H132" s="220"/>
      <c r="I132" s="213"/>
      <c r="J132" s="213"/>
      <c r="K132" s="124"/>
      <c r="L132" s="214"/>
      <c r="M132" s="215"/>
      <c r="N132" s="215"/>
      <c r="O132" s="215"/>
      <c r="P132" s="215"/>
      <c r="Q132" s="215"/>
      <c r="R132" s="215"/>
      <c r="S132" s="215"/>
      <c r="T132" s="133" t="s">
        <v>399</v>
      </c>
      <c r="U132" s="129"/>
      <c r="V132" s="125"/>
      <c r="W132" s="129" t="s">
        <v>2</v>
      </c>
      <c r="X132" s="120">
        <v>130</v>
      </c>
      <c r="Y132" s="98">
        <v>200000</v>
      </c>
      <c r="Z132" s="124"/>
      <c r="AA132" s="128">
        <v>0.5</v>
      </c>
      <c r="AB132" s="122">
        <f>X132*Y132*AA132</f>
        <v>13000000</v>
      </c>
      <c r="AC132" s="212"/>
      <c r="AD132" s="212"/>
    </row>
    <row r="133" spans="1:30" s="123" customFormat="1" ht="38.25" customHeight="1">
      <c r="A133" s="216"/>
      <c r="B133" s="238"/>
      <c r="C133" s="217"/>
      <c r="D133" s="217"/>
      <c r="E133" s="218"/>
      <c r="F133" s="218"/>
      <c r="G133" s="213"/>
      <c r="H133" s="220"/>
      <c r="I133" s="213"/>
      <c r="J133" s="213"/>
      <c r="K133" s="124"/>
      <c r="L133" s="214"/>
      <c r="M133" s="215"/>
      <c r="N133" s="215"/>
      <c r="O133" s="215"/>
      <c r="P133" s="215"/>
      <c r="Q133" s="215"/>
      <c r="R133" s="215"/>
      <c r="S133" s="215"/>
      <c r="T133" s="94" t="s">
        <v>574</v>
      </c>
      <c r="U133" s="129"/>
      <c r="V133" s="125"/>
      <c r="W133" s="129" t="s">
        <v>2</v>
      </c>
      <c r="X133" s="120">
        <v>50</v>
      </c>
      <c r="Y133" s="98"/>
      <c r="Z133" s="124"/>
      <c r="AA133" s="128"/>
      <c r="AB133" s="122"/>
      <c r="AC133" s="212"/>
      <c r="AD133" s="212"/>
    </row>
    <row r="134" spans="1:30" s="123" customFormat="1" ht="24.75" customHeight="1">
      <c r="A134" s="216"/>
      <c r="B134" s="238"/>
      <c r="C134" s="217"/>
      <c r="D134" s="217"/>
      <c r="E134" s="218"/>
      <c r="F134" s="218"/>
      <c r="G134" s="213"/>
      <c r="H134" s="220"/>
      <c r="I134" s="213"/>
      <c r="J134" s="213"/>
      <c r="K134" s="124"/>
      <c r="L134" s="214"/>
      <c r="M134" s="215"/>
      <c r="N134" s="215"/>
      <c r="O134" s="215"/>
      <c r="P134" s="215"/>
      <c r="Q134" s="215"/>
      <c r="R134" s="215"/>
      <c r="S134" s="215"/>
      <c r="T134" s="133" t="s">
        <v>399</v>
      </c>
      <c r="U134" s="129"/>
      <c r="V134" s="125"/>
      <c r="W134" s="129" t="s">
        <v>2</v>
      </c>
      <c r="X134" s="120">
        <v>50</v>
      </c>
      <c r="Y134" s="98">
        <v>150000</v>
      </c>
      <c r="Z134" s="124"/>
      <c r="AA134" s="128">
        <v>0.5</v>
      </c>
      <c r="AB134" s="122">
        <f>X134*Y134*AA134</f>
        <v>3750000</v>
      </c>
      <c r="AC134" s="212"/>
      <c r="AD134" s="212"/>
    </row>
    <row r="135" spans="1:30" s="123" customFormat="1" ht="43.5" customHeight="1">
      <c r="A135" s="216"/>
      <c r="B135" s="238"/>
      <c r="C135" s="217"/>
      <c r="D135" s="217"/>
      <c r="E135" s="218"/>
      <c r="F135" s="218"/>
      <c r="G135" s="213"/>
      <c r="H135" s="220"/>
      <c r="I135" s="213"/>
      <c r="J135" s="213"/>
      <c r="K135" s="124"/>
      <c r="L135" s="214"/>
      <c r="M135" s="215"/>
      <c r="N135" s="215"/>
      <c r="O135" s="215"/>
      <c r="P135" s="215"/>
      <c r="Q135" s="215"/>
      <c r="R135" s="215"/>
      <c r="S135" s="215"/>
      <c r="T135" s="94" t="s">
        <v>575</v>
      </c>
      <c r="U135" s="129"/>
      <c r="V135" s="125">
        <v>84</v>
      </c>
      <c r="W135" s="129"/>
      <c r="X135" s="120">
        <v>84</v>
      </c>
      <c r="Y135" s="120"/>
      <c r="Z135" s="124"/>
      <c r="AA135" s="121"/>
      <c r="AB135" s="120"/>
      <c r="AC135" s="212"/>
      <c r="AD135" s="212"/>
    </row>
    <row r="136" spans="1:30" s="123" customFormat="1" ht="43.5" customHeight="1">
      <c r="A136" s="216"/>
      <c r="B136" s="238"/>
      <c r="C136" s="217"/>
      <c r="D136" s="217"/>
      <c r="E136" s="218"/>
      <c r="F136" s="218"/>
      <c r="G136" s="213"/>
      <c r="H136" s="220"/>
      <c r="I136" s="213"/>
      <c r="J136" s="213"/>
      <c r="K136" s="124"/>
      <c r="L136" s="214"/>
      <c r="M136" s="215"/>
      <c r="N136" s="215"/>
      <c r="O136" s="215"/>
      <c r="P136" s="215"/>
      <c r="Q136" s="215"/>
      <c r="R136" s="215"/>
      <c r="S136" s="215"/>
      <c r="T136" s="94" t="s">
        <v>576</v>
      </c>
      <c r="U136" s="129"/>
      <c r="V136" s="125">
        <v>48</v>
      </c>
      <c r="W136" s="129"/>
      <c r="X136" s="120">
        <v>48</v>
      </c>
      <c r="Y136" s="120"/>
      <c r="Z136" s="124"/>
      <c r="AA136" s="121"/>
      <c r="AB136" s="120"/>
      <c r="AC136" s="212"/>
      <c r="AD136" s="212"/>
    </row>
    <row r="137" spans="1:30" s="123" customFormat="1" ht="24.75" customHeight="1">
      <c r="A137" s="216"/>
      <c r="B137" s="238"/>
      <c r="C137" s="217"/>
      <c r="D137" s="217"/>
      <c r="E137" s="218"/>
      <c r="F137" s="218"/>
      <c r="G137" s="213"/>
      <c r="H137" s="220"/>
      <c r="I137" s="213"/>
      <c r="J137" s="213"/>
      <c r="K137" s="124"/>
      <c r="L137" s="214"/>
      <c r="M137" s="215"/>
      <c r="N137" s="215"/>
      <c r="O137" s="215"/>
      <c r="P137" s="215"/>
      <c r="Q137" s="215"/>
      <c r="R137" s="215"/>
      <c r="S137" s="215"/>
      <c r="T137" s="94" t="s">
        <v>577</v>
      </c>
      <c r="U137" s="129"/>
      <c r="V137" s="125">
        <v>48</v>
      </c>
      <c r="W137" s="129"/>
      <c r="X137" s="120">
        <v>48</v>
      </c>
      <c r="Y137" s="120"/>
      <c r="Z137" s="124"/>
      <c r="AA137" s="121"/>
      <c r="AB137" s="120"/>
      <c r="AC137" s="212"/>
      <c r="AD137" s="212"/>
    </row>
    <row r="138" spans="1:30" s="123" customFormat="1" ht="45" customHeight="1">
      <c r="A138" s="216"/>
      <c r="B138" s="238"/>
      <c r="C138" s="217"/>
      <c r="D138" s="217"/>
      <c r="E138" s="218"/>
      <c r="F138" s="218"/>
      <c r="G138" s="213"/>
      <c r="H138" s="220"/>
      <c r="I138" s="213"/>
      <c r="J138" s="213"/>
      <c r="K138" s="124"/>
      <c r="L138" s="214"/>
      <c r="M138" s="215"/>
      <c r="N138" s="215"/>
      <c r="O138" s="215"/>
      <c r="P138" s="215"/>
      <c r="Q138" s="215"/>
      <c r="R138" s="215"/>
      <c r="S138" s="215"/>
      <c r="T138" s="140" t="s">
        <v>578</v>
      </c>
      <c r="U138" s="96"/>
      <c r="V138" s="125">
        <v>152</v>
      </c>
      <c r="W138" s="96" t="s">
        <v>6</v>
      </c>
      <c r="X138" s="96">
        <v>152</v>
      </c>
      <c r="Y138" s="97"/>
      <c r="Z138" s="124"/>
      <c r="AA138" s="121"/>
      <c r="AB138" s="120"/>
      <c r="AC138" s="212"/>
      <c r="AD138" s="212"/>
    </row>
    <row r="139" spans="1:30" s="123" customFormat="1" ht="45" customHeight="1">
      <c r="A139" s="216"/>
      <c r="B139" s="238"/>
      <c r="C139" s="217"/>
      <c r="D139" s="217"/>
      <c r="E139" s="218"/>
      <c r="F139" s="218"/>
      <c r="G139" s="213"/>
      <c r="H139" s="220"/>
      <c r="I139" s="213"/>
      <c r="J139" s="213"/>
      <c r="K139" s="124"/>
      <c r="L139" s="214"/>
      <c r="M139" s="215"/>
      <c r="N139" s="215"/>
      <c r="O139" s="215"/>
      <c r="P139" s="215"/>
      <c r="Q139" s="215"/>
      <c r="R139" s="215"/>
      <c r="S139" s="215"/>
      <c r="T139" s="140" t="s">
        <v>579</v>
      </c>
      <c r="U139" s="96"/>
      <c r="V139" s="125">
        <v>2.4</v>
      </c>
      <c r="W139" s="96" t="s">
        <v>7</v>
      </c>
      <c r="X139" s="120">
        <v>6</v>
      </c>
      <c r="Y139" s="97"/>
      <c r="Z139" s="124"/>
      <c r="AA139" s="121"/>
      <c r="AB139" s="120"/>
      <c r="AC139" s="212"/>
      <c r="AD139" s="212"/>
    </row>
    <row r="140" spans="1:30" s="123" customFormat="1" ht="45" customHeight="1">
      <c r="A140" s="216"/>
      <c r="B140" s="238"/>
      <c r="C140" s="217"/>
      <c r="D140" s="217"/>
      <c r="E140" s="218"/>
      <c r="F140" s="218"/>
      <c r="G140" s="213"/>
      <c r="H140" s="220"/>
      <c r="I140" s="213"/>
      <c r="J140" s="213"/>
      <c r="K140" s="124"/>
      <c r="L140" s="214"/>
      <c r="M140" s="215"/>
      <c r="N140" s="215"/>
      <c r="O140" s="215"/>
      <c r="P140" s="215"/>
      <c r="Q140" s="215"/>
      <c r="R140" s="215"/>
      <c r="S140" s="215"/>
      <c r="T140" s="140" t="s">
        <v>580</v>
      </c>
      <c r="U140" s="96"/>
      <c r="V140" s="125">
        <v>4</v>
      </c>
      <c r="W140" s="96" t="s">
        <v>7</v>
      </c>
      <c r="X140" s="120">
        <v>6</v>
      </c>
      <c r="Y140" s="97"/>
      <c r="Z140" s="124"/>
      <c r="AA140" s="121"/>
      <c r="AB140" s="120"/>
      <c r="AC140" s="212"/>
      <c r="AD140" s="212"/>
    </row>
    <row r="141" spans="1:30" s="123" customFormat="1" ht="24.75" customHeight="1">
      <c r="A141" s="216"/>
      <c r="B141" s="238"/>
      <c r="C141" s="217"/>
      <c r="D141" s="217"/>
      <c r="E141" s="218"/>
      <c r="F141" s="218"/>
      <c r="G141" s="213"/>
      <c r="H141" s="220"/>
      <c r="I141" s="213"/>
      <c r="J141" s="213"/>
      <c r="K141" s="124"/>
      <c r="L141" s="214"/>
      <c r="M141" s="215"/>
      <c r="N141" s="215"/>
      <c r="O141" s="215"/>
      <c r="P141" s="215"/>
      <c r="Q141" s="215"/>
      <c r="R141" s="215"/>
      <c r="S141" s="215"/>
      <c r="T141" s="126" t="s">
        <v>581</v>
      </c>
      <c r="U141" s="112"/>
      <c r="V141" s="125"/>
      <c r="W141" s="125" t="s">
        <v>501</v>
      </c>
      <c r="X141" s="119">
        <v>1.6</v>
      </c>
      <c r="Y141" s="120"/>
      <c r="Z141" s="124"/>
      <c r="AA141" s="121"/>
      <c r="AB141" s="120"/>
      <c r="AC141" s="212"/>
      <c r="AD141" s="212"/>
    </row>
    <row r="142" spans="1:30" s="123" customFormat="1" ht="24.75" customHeight="1">
      <c r="A142" s="216"/>
      <c r="B142" s="238"/>
      <c r="C142" s="217"/>
      <c r="D142" s="217"/>
      <c r="E142" s="218"/>
      <c r="F142" s="218"/>
      <c r="G142" s="213"/>
      <c r="H142" s="220"/>
      <c r="I142" s="213"/>
      <c r="J142" s="213"/>
      <c r="K142" s="124"/>
      <c r="L142" s="214"/>
      <c r="M142" s="215"/>
      <c r="N142" s="215"/>
      <c r="O142" s="215"/>
      <c r="P142" s="215"/>
      <c r="Q142" s="215"/>
      <c r="R142" s="215"/>
      <c r="S142" s="215"/>
      <c r="T142" s="94" t="s">
        <v>582</v>
      </c>
      <c r="U142" s="129"/>
      <c r="V142" s="125"/>
      <c r="W142" s="125" t="s">
        <v>6</v>
      </c>
      <c r="X142" s="119">
        <v>366</v>
      </c>
      <c r="Y142" s="97"/>
      <c r="Z142" s="124"/>
      <c r="AA142" s="121"/>
      <c r="AB142" s="120"/>
      <c r="AC142" s="212"/>
      <c r="AD142" s="212"/>
    </row>
    <row r="143" spans="1:30" s="123" customFormat="1" ht="23.25" customHeight="1">
      <c r="A143" s="216"/>
      <c r="B143" s="238"/>
      <c r="C143" s="217"/>
      <c r="D143" s="217"/>
      <c r="E143" s="218"/>
      <c r="F143" s="218"/>
      <c r="G143" s="213"/>
      <c r="H143" s="220"/>
      <c r="I143" s="213"/>
      <c r="J143" s="213"/>
      <c r="K143" s="124"/>
      <c r="L143" s="214"/>
      <c r="M143" s="215"/>
      <c r="N143" s="215"/>
      <c r="O143" s="215"/>
      <c r="P143" s="215"/>
      <c r="Q143" s="215"/>
      <c r="R143" s="215"/>
      <c r="S143" s="215"/>
      <c r="T143" s="140" t="s">
        <v>583</v>
      </c>
      <c r="U143" s="96"/>
      <c r="V143" s="125"/>
      <c r="W143" s="125" t="s">
        <v>6</v>
      </c>
      <c r="X143" s="120">
        <v>90</v>
      </c>
      <c r="Y143" s="97"/>
      <c r="Z143" s="124"/>
      <c r="AA143" s="121"/>
      <c r="AB143" s="120"/>
      <c r="AC143" s="212"/>
      <c r="AD143" s="212"/>
    </row>
    <row r="144" spans="1:30" s="123" customFormat="1" ht="36.75" customHeight="1">
      <c r="A144" s="216"/>
      <c r="B144" s="238"/>
      <c r="C144" s="217"/>
      <c r="D144" s="217"/>
      <c r="E144" s="218"/>
      <c r="F144" s="218"/>
      <c r="G144" s="213"/>
      <c r="H144" s="220"/>
      <c r="I144" s="213"/>
      <c r="J144" s="213"/>
      <c r="K144" s="124"/>
      <c r="L144" s="214"/>
      <c r="M144" s="215"/>
      <c r="N144" s="215"/>
      <c r="O144" s="215"/>
      <c r="P144" s="215"/>
      <c r="Q144" s="215"/>
      <c r="R144" s="215"/>
      <c r="S144" s="215"/>
      <c r="T144" s="140" t="s">
        <v>584</v>
      </c>
      <c r="U144" s="96"/>
      <c r="V144" s="125"/>
      <c r="W144" s="96" t="s">
        <v>7</v>
      </c>
      <c r="X144" s="96">
        <v>1.5</v>
      </c>
      <c r="Y144" s="97"/>
      <c r="Z144" s="124"/>
      <c r="AA144" s="121"/>
      <c r="AB144" s="120"/>
      <c r="AC144" s="212"/>
      <c r="AD144" s="212"/>
    </row>
    <row r="145" spans="1:255" s="123" customFormat="1" ht="24.75" customHeight="1">
      <c r="A145" s="216"/>
      <c r="B145" s="238"/>
      <c r="C145" s="217"/>
      <c r="D145" s="217"/>
      <c r="E145" s="218"/>
      <c r="F145" s="218"/>
      <c r="G145" s="213"/>
      <c r="H145" s="220"/>
      <c r="I145" s="213"/>
      <c r="J145" s="213"/>
      <c r="K145" s="124"/>
      <c r="L145" s="214"/>
      <c r="M145" s="215"/>
      <c r="N145" s="215"/>
      <c r="O145" s="215"/>
      <c r="P145" s="215"/>
      <c r="Q145" s="215"/>
      <c r="R145" s="215"/>
      <c r="S145" s="215"/>
      <c r="T145" s="140" t="s">
        <v>585</v>
      </c>
      <c r="U145" s="96"/>
      <c r="V145" s="125"/>
      <c r="W145" s="96" t="s">
        <v>6</v>
      </c>
      <c r="X145" s="119">
        <v>8.5</v>
      </c>
      <c r="Y145" s="97"/>
      <c r="Z145" s="124"/>
      <c r="AA145" s="121"/>
      <c r="AB145" s="120"/>
      <c r="AC145" s="212"/>
      <c r="AD145" s="212"/>
    </row>
    <row r="146" spans="1:255" s="123" customFormat="1" ht="24.75" customHeight="1">
      <c r="A146" s="216"/>
      <c r="B146" s="238"/>
      <c r="C146" s="217"/>
      <c r="D146" s="217"/>
      <c r="E146" s="218"/>
      <c r="F146" s="218"/>
      <c r="G146" s="213"/>
      <c r="H146" s="220"/>
      <c r="I146" s="213"/>
      <c r="J146" s="213"/>
      <c r="K146" s="124"/>
      <c r="L146" s="214"/>
      <c r="M146" s="215"/>
      <c r="N146" s="215"/>
      <c r="O146" s="215"/>
      <c r="P146" s="215"/>
      <c r="Q146" s="215"/>
      <c r="R146" s="215"/>
      <c r="S146" s="215"/>
      <c r="T146" s="126" t="s">
        <v>586</v>
      </c>
      <c r="U146" s="112"/>
      <c r="V146" s="112"/>
      <c r="W146" s="112" t="s">
        <v>395</v>
      </c>
      <c r="X146" s="122">
        <v>2</v>
      </c>
      <c r="Y146" s="120"/>
      <c r="Z146" s="124"/>
      <c r="AA146" s="121"/>
      <c r="AB146" s="120"/>
      <c r="AC146" s="212"/>
      <c r="AD146" s="212"/>
    </row>
    <row r="147" spans="1:255" s="123" customFormat="1" ht="39" customHeight="1">
      <c r="A147" s="216">
        <v>9</v>
      </c>
      <c r="B147" s="223" t="s">
        <v>587</v>
      </c>
      <c r="C147" s="217">
        <v>62</v>
      </c>
      <c r="D147" s="217">
        <v>484</v>
      </c>
      <c r="E147" s="218">
        <v>324.10000000000002</v>
      </c>
      <c r="F147" s="218" t="s">
        <v>26</v>
      </c>
      <c r="G147" s="220">
        <v>324</v>
      </c>
      <c r="H147" s="220">
        <f>E147-G147</f>
        <v>0.10000000000002274</v>
      </c>
      <c r="I147" s="220">
        <v>324</v>
      </c>
      <c r="J147" s="220">
        <v>324</v>
      </c>
      <c r="K147" s="124"/>
      <c r="L147" s="214">
        <f>I147/J147*100</f>
        <v>100</v>
      </c>
      <c r="M147" s="215">
        <f>IF(L147&lt;10,2,IF(L147&lt;20,3,IF(L147&lt;30,5,IF(L147&gt;=70,12,IF(L147&gt;=30,6)))))</f>
        <v>12</v>
      </c>
      <c r="N147" s="215">
        <v>3</v>
      </c>
      <c r="O147" s="215">
        <f>$O$6</f>
        <v>80000</v>
      </c>
      <c r="P147" s="215">
        <f>I147*O147</f>
        <v>25920000</v>
      </c>
      <c r="Q147" s="215">
        <f>$Q$6*I147</f>
        <v>77760000</v>
      </c>
      <c r="R147" s="215">
        <f>M147*N147*$R$6</f>
        <v>18360000</v>
      </c>
      <c r="S147" s="215">
        <f>R147+Q147+P147</f>
        <v>122040000</v>
      </c>
      <c r="T147" s="94" t="s">
        <v>654</v>
      </c>
      <c r="U147" s="129">
        <v>20</v>
      </c>
      <c r="V147" s="127">
        <f>I147/U147</f>
        <v>16.2</v>
      </c>
      <c r="W147" s="125" t="str">
        <f>'[1]bang gia'!$C$46</f>
        <v>đồng/cây</v>
      </c>
      <c r="X147" s="120">
        <v>27</v>
      </c>
      <c r="Y147" s="98"/>
      <c r="Z147" s="124"/>
      <c r="AA147" s="121"/>
      <c r="AB147" s="122"/>
      <c r="AC147" s="212">
        <f>SUM(AB147:AB153)</f>
        <v>43690000</v>
      </c>
      <c r="AD147" s="212">
        <f>AC147+S147</f>
        <v>165730000</v>
      </c>
      <c r="AE147" s="239" t="s">
        <v>492</v>
      </c>
      <c r="AF147" s="130"/>
      <c r="AG147" s="130"/>
      <c r="AH147" s="130"/>
      <c r="AI147" s="130"/>
      <c r="AJ147" s="130"/>
      <c r="AK147" s="130"/>
      <c r="AL147" s="130"/>
      <c r="AM147" s="130"/>
      <c r="AN147" s="130"/>
      <c r="AO147" s="130"/>
      <c r="AP147" s="130"/>
      <c r="AQ147" s="130"/>
      <c r="AR147" s="130"/>
      <c r="AS147" s="130"/>
      <c r="AT147" s="130"/>
      <c r="AU147" s="130"/>
      <c r="AV147" s="130"/>
      <c r="AW147" s="130"/>
      <c r="AX147" s="130"/>
      <c r="AY147" s="130"/>
      <c r="AZ147" s="130"/>
      <c r="BA147" s="130"/>
      <c r="BB147" s="130"/>
      <c r="BC147" s="130"/>
      <c r="BD147" s="130"/>
      <c r="BE147" s="130"/>
      <c r="BF147" s="130"/>
      <c r="BG147" s="130"/>
      <c r="BH147" s="130"/>
      <c r="BI147" s="130"/>
      <c r="BJ147" s="130"/>
      <c r="BK147" s="130"/>
      <c r="BL147" s="130"/>
      <c r="BM147" s="130"/>
      <c r="BN147" s="130"/>
      <c r="BO147" s="130"/>
      <c r="BP147" s="130"/>
      <c r="BQ147" s="130"/>
      <c r="BR147" s="130"/>
      <c r="BS147" s="130"/>
      <c r="BT147" s="130"/>
      <c r="BU147" s="130"/>
      <c r="BV147" s="130"/>
      <c r="BW147" s="130"/>
      <c r="BX147" s="130"/>
      <c r="BY147" s="130"/>
      <c r="BZ147" s="130"/>
      <c r="CA147" s="130"/>
      <c r="CB147" s="130"/>
      <c r="CC147" s="130"/>
      <c r="CD147" s="130"/>
      <c r="CE147" s="130"/>
      <c r="CF147" s="130"/>
      <c r="CG147" s="130"/>
      <c r="CH147" s="130"/>
      <c r="CI147" s="130"/>
      <c r="CJ147" s="130"/>
      <c r="CK147" s="130"/>
      <c r="CL147" s="130"/>
      <c r="CM147" s="130"/>
      <c r="CN147" s="130"/>
      <c r="CO147" s="130"/>
      <c r="CP147" s="130"/>
      <c r="CQ147" s="130"/>
      <c r="CR147" s="130"/>
      <c r="CS147" s="130"/>
      <c r="CT147" s="130"/>
      <c r="CU147" s="130"/>
      <c r="CV147" s="130"/>
      <c r="CW147" s="130"/>
      <c r="CX147" s="130"/>
      <c r="CY147" s="130"/>
      <c r="CZ147" s="130"/>
      <c r="DA147" s="130"/>
      <c r="DB147" s="130"/>
      <c r="DC147" s="130"/>
      <c r="DD147" s="130"/>
      <c r="DE147" s="130"/>
      <c r="DF147" s="130"/>
      <c r="DG147" s="130"/>
      <c r="DH147" s="130"/>
      <c r="DI147" s="130"/>
      <c r="DJ147" s="130"/>
      <c r="DK147" s="130"/>
      <c r="DL147" s="130"/>
      <c r="DM147" s="130"/>
      <c r="DN147" s="130"/>
      <c r="DO147" s="130"/>
      <c r="DP147" s="130"/>
      <c r="DQ147" s="130"/>
      <c r="DR147" s="130"/>
      <c r="DS147" s="130"/>
      <c r="DT147" s="130"/>
      <c r="DU147" s="130"/>
      <c r="DV147" s="130"/>
      <c r="DW147" s="130"/>
      <c r="DX147" s="130"/>
      <c r="DY147" s="130"/>
      <c r="DZ147" s="130"/>
      <c r="EA147" s="130"/>
      <c r="EB147" s="130"/>
      <c r="EC147" s="130"/>
      <c r="ED147" s="130"/>
      <c r="EE147" s="130"/>
      <c r="EF147" s="130"/>
      <c r="EG147" s="130"/>
      <c r="EH147" s="130"/>
      <c r="EI147" s="130"/>
      <c r="EJ147" s="130"/>
      <c r="EK147" s="130"/>
      <c r="EL147" s="130"/>
      <c r="EM147" s="130"/>
      <c r="EN147" s="130"/>
      <c r="EO147" s="130"/>
      <c r="EP147" s="130"/>
      <c r="EQ147" s="130"/>
      <c r="ER147" s="130"/>
      <c r="ES147" s="130"/>
      <c r="ET147" s="130"/>
      <c r="EU147" s="130"/>
      <c r="EV147" s="130"/>
      <c r="EW147" s="130"/>
      <c r="EX147" s="130"/>
      <c r="EY147" s="130"/>
      <c r="EZ147" s="130"/>
      <c r="FA147" s="130"/>
      <c r="FB147" s="130"/>
      <c r="FC147" s="130"/>
      <c r="FD147" s="130"/>
      <c r="FE147" s="130"/>
      <c r="FF147" s="130"/>
      <c r="FG147" s="130"/>
      <c r="FH147" s="130"/>
      <c r="FI147" s="130"/>
      <c r="FJ147" s="130"/>
      <c r="FK147" s="130"/>
      <c r="FL147" s="130"/>
      <c r="FM147" s="130"/>
      <c r="FN147" s="130"/>
      <c r="FO147" s="130"/>
      <c r="FP147" s="130"/>
      <c r="FQ147" s="130"/>
      <c r="FR147" s="130"/>
      <c r="FS147" s="130"/>
      <c r="FT147" s="130"/>
      <c r="FU147" s="130"/>
      <c r="FV147" s="130"/>
      <c r="FW147" s="130"/>
      <c r="FX147" s="130"/>
      <c r="FY147" s="130"/>
      <c r="FZ147" s="130"/>
      <c r="GA147" s="130"/>
      <c r="GB147" s="130"/>
      <c r="GC147" s="130"/>
      <c r="GD147" s="130"/>
      <c r="GE147" s="130"/>
      <c r="GF147" s="130"/>
      <c r="GG147" s="130"/>
      <c r="GH147" s="130"/>
      <c r="GI147" s="130"/>
      <c r="GJ147" s="130"/>
      <c r="GK147" s="130"/>
      <c r="GL147" s="130"/>
      <c r="GM147" s="130"/>
      <c r="GN147" s="130"/>
      <c r="GO147" s="130"/>
      <c r="GP147" s="130"/>
      <c r="GQ147" s="130"/>
      <c r="GR147" s="130"/>
      <c r="GS147" s="130"/>
      <c r="GT147" s="130"/>
      <c r="GU147" s="130"/>
      <c r="GV147" s="130"/>
      <c r="GW147" s="130"/>
      <c r="GX147" s="130"/>
      <c r="GY147" s="130"/>
      <c r="GZ147" s="130"/>
      <c r="HA147" s="130"/>
      <c r="HB147" s="130"/>
      <c r="HC147" s="130"/>
      <c r="HD147" s="130"/>
      <c r="HE147" s="130"/>
      <c r="HF147" s="130"/>
      <c r="HG147" s="130"/>
      <c r="HH147" s="130"/>
      <c r="HI147" s="130"/>
      <c r="HJ147" s="130"/>
      <c r="HK147" s="130"/>
      <c r="HL147" s="130"/>
      <c r="HM147" s="130"/>
      <c r="HN147" s="130"/>
      <c r="HO147" s="130"/>
      <c r="HP147" s="130"/>
      <c r="HQ147" s="130"/>
      <c r="HR147" s="130"/>
      <c r="HS147" s="130"/>
      <c r="HT147" s="130"/>
      <c r="HU147" s="130"/>
      <c r="HV147" s="130"/>
      <c r="HW147" s="130"/>
      <c r="HX147" s="130"/>
      <c r="HY147" s="130"/>
      <c r="HZ147" s="130"/>
      <c r="IA147" s="130"/>
      <c r="IB147" s="130"/>
      <c r="IC147" s="130"/>
      <c r="ID147" s="130"/>
      <c r="IE147" s="130"/>
      <c r="IF147" s="130"/>
      <c r="IG147" s="130"/>
      <c r="IH147" s="130"/>
      <c r="II147" s="130"/>
      <c r="IJ147" s="130"/>
      <c r="IK147" s="130"/>
      <c r="IL147" s="130"/>
      <c r="IM147" s="130"/>
      <c r="IN147" s="130"/>
      <c r="IO147" s="130"/>
      <c r="IP147" s="130"/>
      <c r="IQ147" s="130"/>
      <c r="IR147" s="130"/>
      <c r="IS147" s="130"/>
      <c r="IT147" s="130"/>
      <c r="IU147" s="130"/>
    </row>
    <row r="148" spans="1:255" s="123" customFormat="1" ht="23.25" customHeight="1">
      <c r="A148" s="216"/>
      <c r="B148" s="223"/>
      <c r="C148" s="217"/>
      <c r="D148" s="217"/>
      <c r="E148" s="218"/>
      <c r="F148" s="218"/>
      <c r="G148" s="220"/>
      <c r="H148" s="220"/>
      <c r="I148" s="220"/>
      <c r="J148" s="220"/>
      <c r="K148" s="124"/>
      <c r="L148" s="214"/>
      <c r="M148" s="215"/>
      <c r="N148" s="215"/>
      <c r="O148" s="215"/>
      <c r="P148" s="215"/>
      <c r="Q148" s="215"/>
      <c r="R148" s="215"/>
      <c r="S148" s="215"/>
      <c r="T148" s="133" t="s">
        <v>399</v>
      </c>
      <c r="U148" s="129"/>
      <c r="V148" s="125"/>
      <c r="W148" s="125" t="str">
        <f>'[1]bang gia'!$C$46</f>
        <v>đồng/cây</v>
      </c>
      <c r="X148" s="122">
        <v>16</v>
      </c>
      <c r="Y148" s="98">
        <v>2500000</v>
      </c>
      <c r="Z148" s="124"/>
      <c r="AA148" s="128">
        <v>1</v>
      </c>
      <c r="AB148" s="122">
        <f>X148*Y148*AA148</f>
        <v>40000000</v>
      </c>
      <c r="AC148" s="212"/>
      <c r="AD148" s="212"/>
      <c r="AE148" s="24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c r="AZ148" s="130"/>
      <c r="BA148" s="130"/>
      <c r="BB148" s="130"/>
      <c r="BC148" s="130"/>
      <c r="BD148" s="130"/>
      <c r="BE148" s="130"/>
      <c r="BF148" s="130"/>
      <c r="BG148" s="130"/>
      <c r="BH148" s="130"/>
      <c r="BI148" s="130"/>
      <c r="BJ148" s="130"/>
      <c r="BK148" s="130"/>
      <c r="BL148" s="130"/>
      <c r="BM148" s="130"/>
      <c r="BN148" s="130"/>
      <c r="BO148" s="130"/>
      <c r="BP148" s="130"/>
      <c r="BQ148" s="130"/>
      <c r="BR148" s="130"/>
      <c r="BS148" s="130"/>
      <c r="BT148" s="130"/>
      <c r="BU148" s="130"/>
      <c r="BV148" s="130"/>
      <c r="BW148" s="130"/>
      <c r="BX148" s="130"/>
      <c r="BY148" s="130"/>
      <c r="BZ148" s="130"/>
      <c r="CA148" s="130"/>
      <c r="CB148" s="130"/>
      <c r="CC148" s="130"/>
      <c r="CD148" s="130"/>
      <c r="CE148" s="130"/>
      <c r="CF148" s="130"/>
      <c r="CG148" s="130"/>
      <c r="CH148" s="130"/>
      <c r="CI148" s="130"/>
      <c r="CJ148" s="130"/>
      <c r="CK148" s="130"/>
      <c r="CL148" s="130"/>
      <c r="CM148" s="130"/>
      <c r="CN148" s="130"/>
      <c r="CO148" s="130"/>
      <c r="CP148" s="130"/>
      <c r="CQ148" s="130"/>
      <c r="CR148" s="130"/>
      <c r="CS148" s="130"/>
      <c r="CT148" s="130"/>
      <c r="CU148" s="130"/>
      <c r="CV148" s="130"/>
      <c r="CW148" s="130"/>
      <c r="CX148" s="130"/>
      <c r="CY148" s="130"/>
      <c r="CZ148" s="130"/>
      <c r="DA148" s="130"/>
      <c r="DB148" s="130"/>
      <c r="DC148" s="130"/>
      <c r="DD148" s="130"/>
      <c r="DE148" s="130"/>
      <c r="DF148" s="130"/>
      <c r="DG148" s="130"/>
      <c r="DH148" s="130"/>
      <c r="DI148" s="130"/>
      <c r="DJ148" s="130"/>
      <c r="DK148" s="130"/>
      <c r="DL148" s="130"/>
      <c r="DM148" s="130"/>
      <c r="DN148" s="130"/>
      <c r="DO148" s="130"/>
      <c r="DP148" s="130"/>
      <c r="DQ148" s="130"/>
      <c r="DR148" s="130"/>
      <c r="DS148" s="130"/>
      <c r="DT148" s="130"/>
      <c r="DU148" s="130"/>
      <c r="DV148" s="130"/>
      <c r="DW148" s="130"/>
      <c r="DX148" s="130"/>
      <c r="DY148" s="130"/>
      <c r="DZ148" s="130"/>
      <c r="EA148" s="130"/>
      <c r="EB148" s="130"/>
      <c r="EC148" s="130"/>
      <c r="ED148" s="130"/>
      <c r="EE148" s="130"/>
      <c r="EF148" s="130"/>
      <c r="EG148" s="130"/>
      <c r="EH148" s="130"/>
      <c r="EI148" s="130"/>
      <c r="EJ148" s="130"/>
      <c r="EK148" s="130"/>
      <c r="EL148" s="130"/>
      <c r="EM148" s="130"/>
      <c r="EN148" s="130"/>
      <c r="EO148" s="130"/>
      <c r="EP148" s="130"/>
      <c r="EQ148" s="130"/>
      <c r="ER148" s="130"/>
      <c r="ES148" s="130"/>
      <c r="ET148" s="130"/>
      <c r="EU148" s="130"/>
      <c r="EV148" s="130"/>
      <c r="EW148" s="130"/>
      <c r="EX148" s="130"/>
      <c r="EY148" s="130"/>
      <c r="EZ148" s="130"/>
      <c r="FA148" s="130"/>
      <c r="FB148" s="130"/>
      <c r="FC148" s="130"/>
      <c r="FD148" s="130"/>
      <c r="FE148" s="130"/>
      <c r="FF148" s="130"/>
      <c r="FG148" s="130"/>
      <c r="FH148" s="130"/>
      <c r="FI148" s="130"/>
      <c r="FJ148" s="130"/>
      <c r="FK148" s="130"/>
      <c r="FL148" s="130"/>
      <c r="FM148" s="130"/>
      <c r="FN148" s="130"/>
      <c r="FO148" s="130"/>
      <c r="FP148" s="130"/>
      <c r="FQ148" s="130"/>
      <c r="FR148" s="130"/>
      <c r="FS148" s="130"/>
      <c r="FT148" s="130"/>
      <c r="FU148" s="130"/>
      <c r="FV148" s="130"/>
      <c r="FW148" s="130"/>
      <c r="FX148" s="130"/>
      <c r="FY148" s="130"/>
      <c r="FZ148" s="130"/>
      <c r="GA148" s="130"/>
      <c r="GB148" s="130"/>
      <c r="GC148" s="130"/>
      <c r="GD148" s="130"/>
      <c r="GE148" s="130"/>
      <c r="GF148" s="130"/>
      <c r="GG148" s="130"/>
      <c r="GH148" s="130"/>
      <c r="GI148" s="130"/>
      <c r="GJ148" s="130"/>
      <c r="GK148" s="130"/>
      <c r="GL148" s="130"/>
      <c r="GM148" s="130"/>
      <c r="GN148" s="130"/>
      <c r="GO148" s="130"/>
      <c r="GP148" s="130"/>
      <c r="GQ148" s="130"/>
      <c r="GR148" s="130"/>
      <c r="GS148" s="130"/>
      <c r="GT148" s="130"/>
      <c r="GU148" s="130"/>
      <c r="GV148" s="130"/>
      <c r="GW148" s="130"/>
      <c r="GX148" s="130"/>
      <c r="GY148" s="130"/>
      <c r="GZ148" s="130"/>
      <c r="HA148" s="130"/>
      <c r="HB148" s="130"/>
      <c r="HC148" s="130"/>
      <c r="HD148" s="130"/>
      <c r="HE148" s="130"/>
      <c r="HF148" s="130"/>
      <c r="HG148" s="130"/>
      <c r="HH148" s="130"/>
      <c r="HI148" s="130"/>
      <c r="HJ148" s="130"/>
      <c r="HK148" s="130"/>
      <c r="HL148" s="130"/>
      <c r="HM148" s="130"/>
      <c r="HN148" s="130"/>
      <c r="HO148" s="130"/>
      <c r="HP148" s="130"/>
      <c r="HQ148" s="130"/>
      <c r="HR148" s="130"/>
      <c r="HS148" s="130"/>
      <c r="HT148" s="130"/>
      <c r="HU148" s="130"/>
      <c r="HV148" s="130"/>
      <c r="HW148" s="130"/>
      <c r="HX148" s="130"/>
      <c r="HY148" s="130"/>
      <c r="HZ148" s="130"/>
      <c r="IA148" s="130"/>
      <c r="IB148" s="130"/>
      <c r="IC148" s="130"/>
      <c r="ID148" s="130"/>
      <c r="IE148" s="130"/>
      <c r="IF148" s="130"/>
      <c r="IG148" s="130"/>
      <c r="IH148" s="130"/>
      <c r="II148" s="130"/>
      <c r="IJ148" s="130"/>
      <c r="IK148" s="130"/>
      <c r="IL148" s="130"/>
      <c r="IM148" s="130"/>
      <c r="IN148" s="130"/>
      <c r="IO148" s="130"/>
      <c r="IP148" s="130"/>
      <c r="IQ148" s="130"/>
      <c r="IR148" s="130"/>
      <c r="IS148" s="130"/>
      <c r="IT148" s="130"/>
      <c r="IU148" s="130"/>
    </row>
    <row r="149" spans="1:255" s="123" customFormat="1" ht="24" customHeight="1">
      <c r="A149" s="216"/>
      <c r="B149" s="223"/>
      <c r="C149" s="217"/>
      <c r="D149" s="217"/>
      <c r="E149" s="218"/>
      <c r="F149" s="218"/>
      <c r="G149" s="220"/>
      <c r="H149" s="220"/>
      <c r="I149" s="220"/>
      <c r="J149" s="220"/>
      <c r="K149" s="124"/>
      <c r="L149" s="214"/>
      <c r="M149" s="215"/>
      <c r="N149" s="215"/>
      <c r="O149" s="215"/>
      <c r="P149" s="215"/>
      <c r="Q149" s="215"/>
      <c r="R149" s="215"/>
      <c r="S149" s="215"/>
      <c r="T149" s="133" t="s">
        <v>401</v>
      </c>
      <c r="U149" s="129"/>
      <c r="V149" s="120">
        <f>(X147-X148)*0.3</f>
        <v>3.3</v>
      </c>
      <c r="W149" s="125" t="str">
        <f>'[1]bang gia'!$C$46</f>
        <v>đồng/cây</v>
      </c>
      <c r="X149" s="122">
        <v>3</v>
      </c>
      <c r="Y149" s="98">
        <v>2500000</v>
      </c>
      <c r="Z149" s="124"/>
      <c r="AA149" s="128">
        <v>0.3</v>
      </c>
      <c r="AB149" s="122">
        <f>X149*Y149*AA149</f>
        <v>2250000</v>
      </c>
      <c r="AC149" s="212"/>
      <c r="AD149" s="212"/>
      <c r="AE149" s="240"/>
      <c r="AF149" s="130"/>
      <c r="AG149" s="130"/>
      <c r="AH149" s="130"/>
      <c r="AI149" s="130"/>
      <c r="AJ149" s="130"/>
      <c r="AK149" s="130"/>
      <c r="AL149" s="130"/>
      <c r="AM149" s="130"/>
      <c r="AN149" s="130"/>
      <c r="AO149" s="130"/>
      <c r="AP149" s="130"/>
      <c r="AQ149" s="130"/>
      <c r="AR149" s="130"/>
      <c r="AS149" s="130"/>
      <c r="AT149" s="130"/>
      <c r="AU149" s="130"/>
      <c r="AV149" s="130"/>
      <c r="AW149" s="130"/>
      <c r="AX149" s="130"/>
      <c r="AY149" s="130"/>
      <c r="AZ149" s="130"/>
      <c r="BA149" s="130"/>
      <c r="BB149" s="130"/>
      <c r="BC149" s="130"/>
      <c r="BD149" s="130"/>
      <c r="BE149" s="130"/>
      <c r="BF149" s="130"/>
      <c r="BG149" s="130"/>
      <c r="BH149" s="130"/>
      <c r="BI149" s="130"/>
      <c r="BJ149" s="130"/>
      <c r="BK149" s="130"/>
      <c r="BL149" s="130"/>
      <c r="BM149" s="130"/>
      <c r="BN149" s="130"/>
      <c r="BO149" s="130"/>
      <c r="BP149" s="130"/>
      <c r="BQ149" s="130"/>
      <c r="BR149" s="130"/>
      <c r="BS149" s="130"/>
      <c r="BT149" s="130"/>
      <c r="BU149" s="130"/>
      <c r="BV149" s="130"/>
      <c r="BW149" s="130"/>
      <c r="BX149" s="130"/>
      <c r="BY149" s="130"/>
      <c r="BZ149" s="130"/>
      <c r="CA149" s="130"/>
      <c r="CB149" s="130"/>
      <c r="CC149" s="130"/>
      <c r="CD149" s="130"/>
      <c r="CE149" s="130"/>
      <c r="CF149" s="130"/>
      <c r="CG149" s="130"/>
      <c r="CH149" s="130"/>
      <c r="CI149" s="130"/>
      <c r="CJ149" s="130"/>
      <c r="CK149" s="130"/>
      <c r="CL149" s="130"/>
      <c r="CM149" s="130"/>
      <c r="CN149" s="130"/>
      <c r="CO149" s="130"/>
      <c r="CP149" s="130"/>
      <c r="CQ149" s="130"/>
      <c r="CR149" s="130"/>
      <c r="CS149" s="130"/>
      <c r="CT149" s="130"/>
      <c r="CU149" s="130"/>
      <c r="CV149" s="130"/>
      <c r="CW149" s="130"/>
      <c r="CX149" s="130"/>
      <c r="CY149" s="130"/>
      <c r="CZ149" s="130"/>
      <c r="DA149" s="130"/>
      <c r="DB149" s="130"/>
      <c r="DC149" s="130"/>
      <c r="DD149" s="130"/>
      <c r="DE149" s="130"/>
      <c r="DF149" s="130"/>
      <c r="DG149" s="130"/>
      <c r="DH149" s="130"/>
      <c r="DI149" s="130"/>
      <c r="DJ149" s="130"/>
      <c r="DK149" s="130"/>
      <c r="DL149" s="130"/>
      <c r="DM149" s="130"/>
      <c r="DN149" s="130"/>
      <c r="DO149" s="130"/>
      <c r="DP149" s="130"/>
      <c r="DQ149" s="130"/>
      <c r="DR149" s="130"/>
      <c r="DS149" s="130"/>
      <c r="DT149" s="130"/>
      <c r="DU149" s="130"/>
      <c r="DV149" s="130"/>
      <c r="DW149" s="130"/>
      <c r="DX149" s="130"/>
      <c r="DY149" s="130"/>
      <c r="DZ149" s="130"/>
      <c r="EA149" s="130"/>
      <c r="EB149" s="130"/>
      <c r="EC149" s="130"/>
      <c r="ED149" s="130"/>
      <c r="EE149" s="130"/>
      <c r="EF149" s="130"/>
      <c r="EG149" s="130"/>
      <c r="EH149" s="130"/>
      <c r="EI149" s="130"/>
      <c r="EJ149" s="130"/>
      <c r="EK149" s="130"/>
      <c r="EL149" s="130"/>
      <c r="EM149" s="130"/>
      <c r="EN149" s="130"/>
      <c r="EO149" s="130"/>
      <c r="EP149" s="130"/>
      <c r="EQ149" s="130"/>
      <c r="ER149" s="130"/>
      <c r="ES149" s="130"/>
      <c r="ET149" s="130"/>
      <c r="EU149" s="130"/>
      <c r="EV149" s="130"/>
      <c r="EW149" s="130"/>
      <c r="EX149" s="130"/>
      <c r="EY149" s="130"/>
      <c r="EZ149" s="130"/>
      <c r="FA149" s="130"/>
      <c r="FB149" s="130"/>
      <c r="FC149" s="130"/>
      <c r="FD149" s="130"/>
      <c r="FE149" s="130"/>
      <c r="FF149" s="130"/>
      <c r="FG149" s="130"/>
      <c r="FH149" s="130"/>
      <c r="FI149" s="130"/>
      <c r="FJ149" s="130"/>
      <c r="FK149" s="130"/>
      <c r="FL149" s="130"/>
      <c r="FM149" s="130"/>
      <c r="FN149" s="130"/>
      <c r="FO149" s="130"/>
      <c r="FP149" s="130"/>
      <c r="FQ149" s="130"/>
      <c r="FR149" s="130"/>
      <c r="FS149" s="130"/>
      <c r="FT149" s="130"/>
      <c r="FU149" s="130"/>
      <c r="FV149" s="130"/>
      <c r="FW149" s="130"/>
      <c r="FX149" s="130"/>
      <c r="FY149" s="130"/>
      <c r="FZ149" s="130"/>
      <c r="GA149" s="130"/>
      <c r="GB149" s="130"/>
      <c r="GC149" s="130"/>
      <c r="GD149" s="130"/>
      <c r="GE149" s="130"/>
      <c r="GF149" s="130"/>
      <c r="GG149" s="130"/>
      <c r="GH149" s="130"/>
      <c r="GI149" s="130"/>
      <c r="GJ149" s="130"/>
      <c r="GK149" s="130"/>
      <c r="GL149" s="130"/>
      <c r="GM149" s="130"/>
      <c r="GN149" s="130"/>
      <c r="GO149" s="130"/>
      <c r="GP149" s="130"/>
      <c r="GQ149" s="130"/>
      <c r="GR149" s="130"/>
      <c r="GS149" s="130"/>
      <c r="GT149" s="130"/>
      <c r="GU149" s="130"/>
      <c r="GV149" s="130"/>
      <c r="GW149" s="130"/>
      <c r="GX149" s="130"/>
      <c r="GY149" s="130"/>
      <c r="GZ149" s="130"/>
      <c r="HA149" s="130"/>
      <c r="HB149" s="130"/>
      <c r="HC149" s="130"/>
      <c r="HD149" s="130"/>
      <c r="HE149" s="130"/>
      <c r="HF149" s="130"/>
      <c r="HG149" s="130"/>
      <c r="HH149" s="130"/>
      <c r="HI149" s="130"/>
      <c r="HJ149" s="130"/>
      <c r="HK149" s="130"/>
      <c r="HL149" s="130"/>
      <c r="HM149" s="130"/>
      <c r="HN149" s="130"/>
      <c r="HO149" s="130"/>
      <c r="HP149" s="130"/>
      <c r="HQ149" s="130"/>
      <c r="HR149" s="130"/>
      <c r="HS149" s="130"/>
      <c r="HT149" s="130"/>
      <c r="HU149" s="130"/>
      <c r="HV149" s="130"/>
      <c r="HW149" s="130"/>
      <c r="HX149" s="130"/>
      <c r="HY149" s="130"/>
      <c r="HZ149" s="130"/>
      <c r="IA149" s="130"/>
      <c r="IB149" s="130"/>
      <c r="IC149" s="130"/>
      <c r="ID149" s="130"/>
      <c r="IE149" s="130"/>
      <c r="IF149" s="130"/>
      <c r="IG149" s="130"/>
      <c r="IH149" s="130"/>
      <c r="II149" s="130"/>
      <c r="IJ149" s="130"/>
      <c r="IK149" s="130"/>
      <c r="IL149" s="130"/>
      <c r="IM149" s="130"/>
      <c r="IN149" s="130"/>
      <c r="IO149" s="130"/>
      <c r="IP149" s="130"/>
      <c r="IQ149" s="130"/>
      <c r="IR149" s="130"/>
      <c r="IS149" s="130"/>
      <c r="IT149" s="130"/>
      <c r="IU149" s="130"/>
    </row>
    <row r="150" spans="1:255" s="123" customFormat="1" ht="24" customHeight="1">
      <c r="A150" s="216"/>
      <c r="B150" s="223"/>
      <c r="C150" s="217"/>
      <c r="D150" s="217"/>
      <c r="E150" s="218"/>
      <c r="F150" s="218"/>
      <c r="G150" s="220"/>
      <c r="H150" s="220"/>
      <c r="I150" s="220"/>
      <c r="J150" s="220"/>
      <c r="K150" s="124"/>
      <c r="L150" s="214"/>
      <c r="M150" s="215"/>
      <c r="N150" s="215"/>
      <c r="O150" s="215"/>
      <c r="P150" s="215"/>
      <c r="Q150" s="215"/>
      <c r="R150" s="215"/>
      <c r="S150" s="215"/>
      <c r="T150" s="133" t="s">
        <v>402</v>
      </c>
      <c r="U150" s="129"/>
      <c r="V150" s="125"/>
      <c r="W150" s="125" t="str">
        <f>'[1]bang gia'!$C$46</f>
        <v>đồng/cây</v>
      </c>
      <c r="X150" s="122">
        <v>3</v>
      </c>
      <c r="Y150" s="98">
        <v>2500000</v>
      </c>
      <c r="Z150" s="124"/>
      <c r="AA150" s="121">
        <v>0</v>
      </c>
      <c r="AB150" s="122">
        <f>X150*Y150*AA150</f>
        <v>0</v>
      </c>
      <c r="AC150" s="212"/>
      <c r="AD150" s="212"/>
      <c r="AE150" s="240"/>
      <c r="AF150" s="130"/>
      <c r="AG150" s="130"/>
      <c r="AH150" s="130"/>
      <c r="AI150" s="130"/>
      <c r="AJ150" s="130"/>
      <c r="AK150" s="130"/>
      <c r="AL150" s="130"/>
      <c r="AM150" s="130"/>
      <c r="AN150" s="130"/>
      <c r="AO150" s="130"/>
      <c r="AP150" s="130"/>
      <c r="AQ150" s="130"/>
      <c r="AR150" s="130"/>
      <c r="AS150" s="130"/>
      <c r="AT150" s="130"/>
      <c r="AU150" s="130"/>
      <c r="AV150" s="130"/>
      <c r="AW150" s="130"/>
      <c r="AX150" s="130"/>
      <c r="AY150" s="130"/>
      <c r="AZ150" s="130"/>
      <c r="BA150" s="130"/>
      <c r="BB150" s="130"/>
      <c r="BC150" s="130"/>
      <c r="BD150" s="130"/>
      <c r="BE150" s="130"/>
      <c r="BF150" s="130"/>
      <c r="BG150" s="130"/>
      <c r="BH150" s="130"/>
      <c r="BI150" s="130"/>
      <c r="BJ150" s="130"/>
      <c r="BK150" s="130"/>
      <c r="BL150" s="130"/>
      <c r="BM150" s="130"/>
      <c r="BN150" s="130"/>
      <c r="BO150" s="130"/>
      <c r="BP150" s="130"/>
      <c r="BQ150" s="130"/>
      <c r="BR150" s="130"/>
      <c r="BS150" s="130"/>
      <c r="BT150" s="130"/>
      <c r="BU150" s="130"/>
      <c r="BV150" s="130"/>
      <c r="BW150" s="130"/>
      <c r="BX150" s="130"/>
      <c r="BY150" s="130"/>
      <c r="BZ150" s="130"/>
      <c r="CA150" s="130"/>
      <c r="CB150" s="130"/>
      <c r="CC150" s="130"/>
      <c r="CD150" s="130"/>
      <c r="CE150" s="130"/>
      <c r="CF150" s="130"/>
      <c r="CG150" s="130"/>
      <c r="CH150" s="130"/>
      <c r="CI150" s="130"/>
      <c r="CJ150" s="130"/>
      <c r="CK150" s="130"/>
      <c r="CL150" s="130"/>
      <c r="CM150" s="130"/>
      <c r="CN150" s="130"/>
      <c r="CO150" s="130"/>
      <c r="CP150" s="130"/>
      <c r="CQ150" s="130"/>
      <c r="CR150" s="130"/>
      <c r="CS150" s="130"/>
      <c r="CT150" s="130"/>
      <c r="CU150" s="130"/>
      <c r="CV150" s="130"/>
      <c r="CW150" s="130"/>
      <c r="CX150" s="130"/>
      <c r="CY150" s="130"/>
      <c r="CZ150" s="130"/>
      <c r="DA150" s="130"/>
      <c r="DB150" s="130"/>
      <c r="DC150" s="130"/>
      <c r="DD150" s="130"/>
      <c r="DE150" s="130"/>
      <c r="DF150" s="130"/>
      <c r="DG150" s="130"/>
      <c r="DH150" s="130"/>
      <c r="DI150" s="130"/>
      <c r="DJ150" s="130"/>
      <c r="DK150" s="130"/>
      <c r="DL150" s="130"/>
      <c r="DM150" s="130"/>
      <c r="DN150" s="130"/>
      <c r="DO150" s="130"/>
      <c r="DP150" s="130"/>
      <c r="DQ150" s="130"/>
      <c r="DR150" s="130"/>
      <c r="DS150" s="130"/>
      <c r="DT150" s="130"/>
      <c r="DU150" s="130"/>
      <c r="DV150" s="130"/>
      <c r="DW150" s="130"/>
      <c r="DX150" s="130"/>
      <c r="DY150" s="130"/>
      <c r="DZ150" s="130"/>
      <c r="EA150" s="130"/>
      <c r="EB150" s="130"/>
      <c r="EC150" s="130"/>
      <c r="ED150" s="130"/>
      <c r="EE150" s="130"/>
      <c r="EF150" s="130"/>
      <c r="EG150" s="130"/>
      <c r="EH150" s="130"/>
      <c r="EI150" s="130"/>
      <c r="EJ150" s="130"/>
      <c r="EK150" s="130"/>
      <c r="EL150" s="130"/>
      <c r="EM150" s="130"/>
      <c r="EN150" s="130"/>
      <c r="EO150" s="130"/>
      <c r="EP150" s="130"/>
      <c r="EQ150" s="130"/>
      <c r="ER150" s="130"/>
      <c r="ES150" s="130"/>
      <c r="ET150" s="130"/>
      <c r="EU150" s="130"/>
      <c r="EV150" s="130"/>
      <c r="EW150" s="130"/>
      <c r="EX150" s="130"/>
      <c r="EY150" s="130"/>
      <c r="EZ150" s="130"/>
      <c r="FA150" s="130"/>
      <c r="FB150" s="130"/>
      <c r="FC150" s="130"/>
      <c r="FD150" s="130"/>
      <c r="FE150" s="130"/>
      <c r="FF150" s="130"/>
      <c r="FG150" s="130"/>
      <c r="FH150" s="130"/>
      <c r="FI150" s="130"/>
      <c r="FJ150" s="130"/>
      <c r="FK150" s="130"/>
      <c r="FL150" s="130"/>
      <c r="FM150" s="130"/>
      <c r="FN150" s="130"/>
      <c r="FO150" s="130"/>
      <c r="FP150" s="130"/>
      <c r="FQ150" s="130"/>
      <c r="FR150" s="130"/>
      <c r="FS150" s="130"/>
      <c r="FT150" s="130"/>
      <c r="FU150" s="130"/>
      <c r="FV150" s="130"/>
      <c r="FW150" s="130"/>
      <c r="FX150" s="130"/>
      <c r="FY150" s="130"/>
      <c r="FZ150" s="130"/>
      <c r="GA150" s="130"/>
      <c r="GB150" s="130"/>
      <c r="GC150" s="130"/>
      <c r="GD150" s="130"/>
      <c r="GE150" s="130"/>
      <c r="GF150" s="130"/>
      <c r="GG150" s="130"/>
      <c r="GH150" s="130"/>
      <c r="GI150" s="130"/>
      <c r="GJ150" s="130"/>
      <c r="GK150" s="130"/>
      <c r="GL150" s="130"/>
      <c r="GM150" s="130"/>
      <c r="GN150" s="130"/>
      <c r="GO150" s="130"/>
      <c r="GP150" s="130"/>
      <c r="GQ150" s="130"/>
      <c r="GR150" s="130"/>
      <c r="GS150" s="130"/>
      <c r="GT150" s="130"/>
      <c r="GU150" s="130"/>
      <c r="GV150" s="130"/>
      <c r="GW150" s="130"/>
      <c r="GX150" s="130"/>
      <c r="GY150" s="130"/>
      <c r="GZ150" s="130"/>
      <c r="HA150" s="130"/>
      <c r="HB150" s="130"/>
      <c r="HC150" s="130"/>
      <c r="HD150" s="130"/>
      <c r="HE150" s="130"/>
      <c r="HF150" s="130"/>
      <c r="HG150" s="130"/>
      <c r="HH150" s="130"/>
      <c r="HI150" s="130"/>
      <c r="HJ150" s="130"/>
      <c r="HK150" s="130"/>
      <c r="HL150" s="130"/>
      <c r="HM150" s="130"/>
      <c r="HN150" s="130"/>
      <c r="HO150" s="130"/>
      <c r="HP150" s="130"/>
      <c r="HQ150" s="130"/>
      <c r="HR150" s="130"/>
      <c r="HS150" s="130"/>
      <c r="HT150" s="130"/>
      <c r="HU150" s="130"/>
      <c r="HV150" s="130"/>
      <c r="HW150" s="130"/>
      <c r="HX150" s="130"/>
      <c r="HY150" s="130"/>
      <c r="HZ150" s="130"/>
      <c r="IA150" s="130"/>
      <c r="IB150" s="130"/>
      <c r="IC150" s="130"/>
      <c r="ID150" s="130"/>
      <c r="IE150" s="130"/>
      <c r="IF150" s="130"/>
      <c r="IG150" s="130"/>
      <c r="IH150" s="130"/>
      <c r="II150" s="130"/>
      <c r="IJ150" s="130"/>
      <c r="IK150" s="130"/>
      <c r="IL150" s="130"/>
      <c r="IM150" s="130"/>
      <c r="IN150" s="130"/>
      <c r="IO150" s="130"/>
      <c r="IP150" s="130"/>
      <c r="IQ150" s="130"/>
      <c r="IR150" s="130"/>
      <c r="IS150" s="130"/>
      <c r="IT150" s="130"/>
      <c r="IU150" s="130"/>
    </row>
    <row r="151" spans="1:255" s="123" customFormat="1" ht="44.25" customHeight="1">
      <c r="A151" s="216"/>
      <c r="B151" s="223"/>
      <c r="C151" s="217"/>
      <c r="D151" s="217"/>
      <c r="E151" s="218"/>
      <c r="F151" s="218"/>
      <c r="G151" s="220"/>
      <c r="H151" s="220"/>
      <c r="I151" s="220"/>
      <c r="J151" s="220"/>
      <c r="K151" s="124"/>
      <c r="L151" s="214"/>
      <c r="M151" s="215"/>
      <c r="N151" s="215"/>
      <c r="O151" s="215"/>
      <c r="P151" s="215"/>
      <c r="Q151" s="215"/>
      <c r="R151" s="215"/>
      <c r="S151" s="215"/>
      <c r="T151" s="94" t="s">
        <v>429</v>
      </c>
      <c r="U151" s="129">
        <v>4</v>
      </c>
      <c r="V151" s="127">
        <f>I147/U151*0.3</f>
        <v>24.3</v>
      </c>
      <c r="W151" s="129" t="s">
        <v>392</v>
      </c>
      <c r="X151" s="120">
        <v>40</v>
      </c>
      <c r="Y151" s="120"/>
      <c r="Z151" s="124"/>
      <c r="AA151" s="121"/>
      <c r="AB151" s="122"/>
      <c r="AC151" s="212"/>
      <c r="AD151" s="212"/>
      <c r="AE151" s="24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c r="AZ151" s="130"/>
      <c r="BA151" s="130"/>
      <c r="BB151" s="130"/>
      <c r="BC151" s="130"/>
      <c r="BD151" s="130"/>
      <c r="BE151" s="130"/>
      <c r="BF151" s="130"/>
      <c r="BG151" s="130"/>
      <c r="BH151" s="130"/>
      <c r="BI151" s="130"/>
      <c r="BJ151" s="130"/>
      <c r="BK151" s="130"/>
      <c r="BL151" s="130"/>
      <c r="BM151" s="130"/>
      <c r="BN151" s="130"/>
      <c r="BO151" s="130"/>
      <c r="BP151" s="130"/>
      <c r="BQ151" s="130"/>
      <c r="BR151" s="130"/>
      <c r="BS151" s="130"/>
      <c r="BT151" s="130"/>
      <c r="BU151" s="130"/>
      <c r="BV151" s="130"/>
      <c r="BW151" s="130"/>
      <c r="BX151" s="130"/>
      <c r="BY151" s="130"/>
      <c r="BZ151" s="130"/>
      <c r="CA151" s="130"/>
      <c r="CB151" s="130"/>
      <c r="CC151" s="130"/>
      <c r="CD151" s="130"/>
      <c r="CE151" s="130"/>
      <c r="CF151" s="130"/>
      <c r="CG151" s="130"/>
      <c r="CH151" s="130"/>
      <c r="CI151" s="130"/>
      <c r="CJ151" s="130"/>
      <c r="CK151" s="130"/>
      <c r="CL151" s="130"/>
      <c r="CM151" s="130"/>
      <c r="CN151" s="130"/>
      <c r="CO151" s="130"/>
      <c r="CP151" s="130"/>
      <c r="CQ151" s="130"/>
      <c r="CR151" s="130"/>
      <c r="CS151" s="130"/>
      <c r="CT151" s="130"/>
      <c r="CU151" s="130"/>
      <c r="CV151" s="130"/>
      <c r="CW151" s="130"/>
      <c r="CX151" s="130"/>
      <c r="CY151" s="130"/>
      <c r="CZ151" s="130"/>
      <c r="DA151" s="130"/>
      <c r="DB151" s="130"/>
      <c r="DC151" s="130"/>
      <c r="DD151" s="130"/>
      <c r="DE151" s="130"/>
      <c r="DF151" s="130"/>
      <c r="DG151" s="130"/>
      <c r="DH151" s="130"/>
      <c r="DI151" s="130"/>
      <c r="DJ151" s="130"/>
      <c r="DK151" s="130"/>
      <c r="DL151" s="130"/>
      <c r="DM151" s="130"/>
      <c r="DN151" s="130"/>
      <c r="DO151" s="130"/>
      <c r="DP151" s="130"/>
      <c r="DQ151" s="130"/>
      <c r="DR151" s="130"/>
      <c r="DS151" s="130"/>
      <c r="DT151" s="130"/>
      <c r="DU151" s="130"/>
      <c r="DV151" s="130"/>
      <c r="DW151" s="130"/>
      <c r="DX151" s="130"/>
      <c r="DY151" s="130"/>
      <c r="DZ151" s="130"/>
      <c r="EA151" s="130"/>
      <c r="EB151" s="130"/>
      <c r="EC151" s="130"/>
      <c r="ED151" s="130"/>
      <c r="EE151" s="130"/>
      <c r="EF151" s="130"/>
      <c r="EG151" s="130"/>
      <c r="EH151" s="130"/>
      <c r="EI151" s="130"/>
      <c r="EJ151" s="130"/>
      <c r="EK151" s="130"/>
      <c r="EL151" s="130"/>
      <c r="EM151" s="130"/>
      <c r="EN151" s="130"/>
      <c r="EO151" s="130"/>
      <c r="EP151" s="130"/>
      <c r="EQ151" s="130"/>
      <c r="ER151" s="130"/>
      <c r="ES151" s="130"/>
      <c r="ET151" s="130"/>
      <c r="EU151" s="130"/>
      <c r="EV151" s="130"/>
      <c r="EW151" s="130"/>
      <c r="EX151" s="130"/>
      <c r="EY151" s="130"/>
      <c r="EZ151" s="130"/>
      <c r="FA151" s="130"/>
      <c r="FB151" s="130"/>
      <c r="FC151" s="130"/>
      <c r="FD151" s="130"/>
      <c r="FE151" s="130"/>
      <c r="FF151" s="130"/>
      <c r="FG151" s="130"/>
      <c r="FH151" s="130"/>
      <c r="FI151" s="130"/>
      <c r="FJ151" s="130"/>
      <c r="FK151" s="130"/>
      <c r="FL151" s="130"/>
      <c r="FM151" s="130"/>
      <c r="FN151" s="130"/>
      <c r="FO151" s="130"/>
      <c r="FP151" s="130"/>
      <c r="FQ151" s="130"/>
      <c r="FR151" s="130"/>
      <c r="FS151" s="130"/>
      <c r="FT151" s="130"/>
      <c r="FU151" s="130"/>
      <c r="FV151" s="130"/>
      <c r="FW151" s="130"/>
      <c r="FX151" s="130"/>
      <c r="FY151" s="130"/>
      <c r="FZ151" s="130"/>
      <c r="GA151" s="130"/>
      <c r="GB151" s="130"/>
      <c r="GC151" s="130"/>
      <c r="GD151" s="130"/>
      <c r="GE151" s="130"/>
      <c r="GF151" s="130"/>
      <c r="GG151" s="130"/>
      <c r="GH151" s="130"/>
      <c r="GI151" s="130"/>
      <c r="GJ151" s="130"/>
      <c r="GK151" s="130"/>
      <c r="GL151" s="130"/>
      <c r="GM151" s="130"/>
      <c r="GN151" s="130"/>
      <c r="GO151" s="130"/>
      <c r="GP151" s="130"/>
      <c r="GQ151" s="130"/>
      <c r="GR151" s="130"/>
      <c r="GS151" s="130"/>
      <c r="GT151" s="130"/>
      <c r="GU151" s="130"/>
      <c r="GV151" s="130"/>
      <c r="GW151" s="130"/>
      <c r="GX151" s="130"/>
      <c r="GY151" s="130"/>
      <c r="GZ151" s="130"/>
      <c r="HA151" s="130"/>
      <c r="HB151" s="130"/>
      <c r="HC151" s="130"/>
      <c r="HD151" s="130"/>
      <c r="HE151" s="130"/>
      <c r="HF151" s="130"/>
      <c r="HG151" s="130"/>
      <c r="HH151" s="130"/>
      <c r="HI151" s="130"/>
      <c r="HJ151" s="130"/>
      <c r="HK151" s="130"/>
      <c r="HL151" s="130"/>
      <c r="HM151" s="130"/>
      <c r="HN151" s="130"/>
      <c r="HO151" s="130"/>
      <c r="HP151" s="130"/>
      <c r="HQ151" s="130"/>
      <c r="HR151" s="130"/>
      <c r="HS151" s="130"/>
      <c r="HT151" s="130"/>
      <c r="HU151" s="130"/>
      <c r="HV151" s="130"/>
      <c r="HW151" s="130"/>
      <c r="HX151" s="130"/>
      <c r="HY151" s="130"/>
      <c r="HZ151" s="130"/>
      <c r="IA151" s="130"/>
      <c r="IB151" s="130"/>
      <c r="IC151" s="130"/>
      <c r="ID151" s="130"/>
      <c r="IE151" s="130"/>
      <c r="IF151" s="130"/>
      <c r="IG151" s="130"/>
      <c r="IH151" s="130"/>
      <c r="II151" s="130"/>
      <c r="IJ151" s="130"/>
      <c r="IK151" s="130"/>
      <c r="IL151" s="130"/>
      <c r="IM151" s="130"/>
      <c r="IN151" s="130"/>
      <c r="IO151" s="130"/>
      <c r="IP151" s="130"/>
      <c r="IQ151" s="130"/>
      <c r="IR151" s="130"/>
      <c r="IS151" s="130"/>
      <c r="IT151" s="130"/>
      <c r="IU151" s="130"/>
    </row>
    <row r="152" spans="1:255" s="123" customFormat="1" ht="30.75" customHeight="1">
      <c r="A152" s="216"/>
      <c r="B152" s="223"/>
      <c r="C152" s="217"/>
      <c r="D152" s="217"/>
      <c r="E152" s="218"/>
      <c r="F152" s="218"/>
      <c r="G152" s="220"/>
      <c r="H152" s="220"/>
      <c r="I152" s="220"/>
      <c r="J152" s="220"/>
      <c r="K152" s="124"/>
      <c r="L152" s="214"/>
      <c r="M152" s="215"/>
      <c r="N152" s="215"/>
      <c r="O152" s="215"/>
      <c r="P152" s="215"/>
      <c r="Q152" s="215"/>
      <c r="R152" s="215"/>
      <c r="S152" s="215"/>
      <c r="T152" s="133" t="s">
        <v>401</v>
      </c>
      <c r="U152" s="129"/>
      <c r="V152" s="127"/>
      <c r="W152" s="129" t="s">
        <v>392</v>
      </c>
      <c r="X152" s="120">
        <v>24</v>
      </c>
      <c r="Y152" s="120">
        <v>200000</v>
      </c>
      <c r="Z152" s="124"/>
      <c r="AA152" s="121">
        <v>0.3</v>
      </c>
      <c r="AB152" s="122">
        <f>X152*Y152*AA152</f>
        <v>1440000</v>
      </c>
      <c r="AC152" s="212"/>
      <c r="AD152" s="212"/>
      <c r="AE152" s="149"/>
      <c r="AF152" s="130"/>
      <c r="AG152" s="130"/>
      <c r="AH152" s="130"/>
      <c r="AI152" s="130"/>
      <c r="AJ152" s="130"/>
      <c r="AK152" s="130"/>
      <c r="AL152" s="130"/>
      <c r="AM152" s="130"/>
      <c r="AN152" s="130"/>
      <c r="AO152" s="130"/>
      <c r="AP152" s="130"/>
      <c r="AQ152" s="130"/>
      <c r="AR152" s="130"/>
      <c r="AS152" s="130"/>
      <c r="AT152" s="130"/>
      <c r="AU152" s="130"/>
      <c r="AV152" s="130"/>
      <c r="AW152" s="130"/>
      <c r="AX152" s="130"/>
      <c r="AY152" s="130"/>
      <c r="AZ152" s="130"/>
      <c r="BA152" s="130"/>
      <c r="BB152" s="130"/>
      <c r="BC152" s="130"/>
      <c r="BD152" s="130"/>
      <c r="BE152" s="130"/>
      <c r="BF152" s="130"/>
      <c r="BG152" s="130"/>
      <c r="BH152" s="130"/>
      <c r="BI152" s="130"/>
      <c r="BJ152" s="130"/>
      <c r="BK152" s="130"/>
      <c r="BL152" s="130"/>
      <c r="BM152" s="130"/>
      <c r="BN152" s="130"/>
      <c r="BO152" s="130"/>
      <c r="BP152" s="130"/>
      <c r="BQ152" s="130"/>
      <c r="BR152" s="130"/>
      <c r="BS152" s="130"/>
      <c r="BT152" s="130"/>
      <c r="BU152" s="130"/>
      <c r="BV152" s="130"/>
      <c r="BW152" s="130"/>
      <c r="BX152" s="130"/>
      <c r="BY152" s="130"/>
      <c r="BZ152" s="130"/>
      <c r="CA152" s="130"/>
      <c r="CB152" s="130"/>
      <c r="CC152" s="130"/>
      <c r="CD152" s="130"/>
      <c r="CE152" s="130"/>
      <c r="CF152" s="130"/>
      <c r="CG152" s="130"/>
      <c r="CH152" s="130"/>
      <c r="CI152" s="130"/>
      <c r="CJ152" s="130"/>
      <c r="CK152" s="130"/>
      <c r="CL152" s="130"/>
      <c r="CM152" s="130"/>
      <c r="CN152" s="130"/>
      <c r="CO152" s="130"/>
      <c r="CP152" s="130"/>
      <c r="CQ152" s="130"/>
      <c r="CR152" s="130"/>
      <c r="CS152" s="130"/>
      <c r="CT152" s="130"/>
      <c r="CU152" s="130"/>
      <c r="CV152" s="130"/>
      <c r="CW152" s="130"/>
      <c r="CX152" s="130"/>
      <c r="CY152" s="130"/>
      <c r="CZ152" s="130"/>
      <c r="DA152" s="130"/>
      <c r="DB152" s="130"/>
      <c r="DC152" s="130"/>
      <c r="DD152" s="130"/>
      <c r="DE152" s="130"/>
      <c r="DF152" s="130"/>
      <c r="DG152" s="130"/>
      <c r="DH152" s="130"/>
      <c r="DI152" s="130"/>
      <c r="DJ152" s="130"/>
      <c r="DK152" s="130"/>
      <c r="DL152" s="130"/>
      <c r="DM152" s="130"/>
      <c r="DN152" s="130"/>
      <c r="DO152" s="130"/>
      <c r="DP152" s="130"/>
      <c r="DQ152" s="130"/>
      <c r="DR152" s="130"/>
      <c r="DS152" s="130"/>
      <c r="DT152" s="130"/>
      <c r="DU152" s="130"/>
      <c r="DV152" s="130"/>
      <c r="DW152" s="130"/>
      <c r="DX152" s="130"/>
      <c r="DY152" s="130"/>
      <c r="DZ152" s="130"/>
      <c r="EA152" s="130"/>
      <c r="EB152" s="130"/>
      <c r="EC152" s="130"/>
      <c r="ED152" s="130"/>
      <c r="EE152" s="130"/>
      <c r="EF152" s="130"/>
      <c r="EG152" s="130"/>
      <c r="EH152" s="130"/>
      <c r="EI152" s="130"/>
      <c r="EJ152" s="130"/>
      <c r="EK152" s="130"/>
      <c r="EL152" s="130"/>
      <c r="EM152" s="130"/>
      <c r="EN152" s="130"/>
      <c r="EO152" s="130"/>
      <c r="EP152" s="130"/>
      <c r="EQ152" s="130"/>
      <c r="ER152" s="130"/>
      <c r="ES152" s="130"/>
      <c r="ET152" s="130"/>
      <c r="EU152" s="130"/>
      <c r="EV152" s="130"/>
      <c r="EW152" s="130"/>
      <c r="EX152" s="130"/>
      <c r="EY152" s="130"/>
      <c r="EZ152" s="130"/>
      <c r="FA152" s="130"/>
      <c r="FB152" s="130"/>
      <c r="FC152" s="130"/>
      <c r="FD152" s="130"/>
      <c r="FE152" s="130"/>
      <c r="FF152" s="130"/>
      <c r="FG152" s="130"/>
      <c r="FH152" s="130"/>
      <c r="FI152" s="130"/>
      <c r="FJ152" s="130"/>
      <c r="FK152" s="130"/>
      <c r="FL152" s="130"/>
      <c r="FM152" s="130"/>
      <c r="FN152" s="130"/>
      <c r="FO152" s="130"/>
      <c r="FP152" s="130"/>
      <c r="FQ152" s="130"/>
      <c r="FR152" s="130"/>
      <c r="FS152" s="130"/>
      <c r="FT152" s="130"/>
      <c r="FU152" s="130"/>
      <c r="FV152" s="130"/>
      <c r="FW152" s="130"/>
      <c r="FX152" s="130"/>
      <c r="FY152" s="130"/>
      <c r="FZ152" s="130"/>
      <c r="GA152" s="130"/>
      <c r="GB152" s="130"/>
      <c r="GC152" s="130"/>
      <c r="GD152" s="130"/>
      <c r="GE152" s="130"/>
      <c r="GF152" s="130"/>
      <c r="GG152" s="130"/>
      <c r="GH152" s="130"/>
      <c r="GI152" s="130"/>
      <c r="GJ152" s="130"/>
      <c r="GK152" s="130"/>
      <c r="GL152" s="130"/>
      <c r="GM152" s="130"/>
      <c r="GN152" s="130"/>
      <c r="GO152" s="130"/>
      <c r="GP152" s="130"/>
      <c r="GQ152" s="130"/>
      <c r="GR152" s="130"/>
      <c r="GS152" s="130"/>
      <c r="GT152" s="130"/>
      <c r="GU152" s="130"/>
      <c r="GV152" s="130"/>
      <c r="GW152" s="130"/>
      <c r="GX152" s="130"/>
      <c r="GY152" s="130"/>
      <c r="GZ152" s="130"/>
      <c r="HA152" s="130"/>
      <c r="HB152" s="130"/>
      <c r="HC152" s="130"/>
      <c r="HD152" s="130"/>
      <c r="HE152" s="130"/>
      <c r="HF152" s="130"/>
      <c r="HG152" s="130"/>
      <c r="HH152" s="130"/>
      <c r="HI152" s="130"/>
      <c r="HJ152" s="130"/>
      <c r="HK152" s="130"/>
      <c r="HL152" s="130"/>
      <c r="HM152" s="130"/>
      <c r="HN152" s="130"/>
      <c r="HO152" s="130"/>
      <c r="HP152" s="130"/>
      <c r="HQ152" s="130"/>
      <c r="HR152" s="130"/>
      <c r="HS152" s="130"/>
      <c r="HT152" s="130"/>
      <c r="HU152" s="130"/>
      <c r="HV152" s="130"/>
      <c r="HW152" s="130"/>
      <c r="HX152" s="130"/>
      <c r="HY152" s="130"/>
      <c r="HZ152" s="130"/>
      <c r="IA152" s="130"/>
      <c r="IB152" s="130"/>
      <c r="IC152" s="130"/>
      <c r="ID152" s="130"/>
      <c r="IE152" s="130"/>
      <c r="IF152" s="130"/>
      <c r="IG152" s="130"/>
      <c r="IH152" s="130"/>
      <c r="II152" s="130"/>
      <c r="IJ152" s="130"/>
      <c r="IK152" s="130"/>
      <c r="IL152" s="130"/>
      <c r="IM152" s="130"/>
      <c r="IN152" s="130"/>
      <c r="IO152" s="130"/>
      <c r="IP152" s="130"/>
      <c r="IQ152" s="130"/>
      <c r="IR152" s="130"/>
      <c r="IS152" s="130"/>
      <c r="IT152" s="130"/>
      <c r="IU152" s="130"/>
    </row>
    <row r="153" spans="1:255" s="123" customFormat="1" ht="30.75" customHeight="1">
      <c r="A153" s="216"/>
      <c r="B153" s="223"/>
      <c r="C153" s="217"/>
      <c r="D153" s="217"/>
      <c r="E153" s="218"/>
      <c r="F153" s="218"/>
      <c r="G153" s="220"/>
      <c r="H153" s="220"/>
      <c r="I153" s="220"/>
      <c r="J153" s="220"/>
      <c r="K153" s="124"/>
      <c r="L153" s="214"/>
      <c r="M153" s="215"/>
      <c r="N153" s="215"/>
      <c r="O153" s="215"/>
      <c r="P153" s="215"/>
      <c r="Q153" s="215"/>
      <c r="R153" s="215"/>
      <c r="S153" s="215"/>
      <c r="T153" s="133" t="s">
        <v>402</v>
      </c>
      <c r="U153" s="129"/>
      <c r="V153" s="125"/>
      <c r="W153" s="129" t="s">
        <v>392</v>
      </c>
      <c r="X153" s="120">
        <f>X151-X152</f>
        <v>16</v>
      </c>
      <c r="Y153" s="120">
        <v>200000</v>
      </c>
      <c r="Z153" s="124"/>
      <c r="AA153" s="128">
        <v>0</v>
      </c>
      <c r="AB153" s="122">
        <f>X153*Y153*AA153</f>
        <v>0</v>
      </c>
      <c r="AC153" s="212"/>
      <c r="AD153" s="212"/>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30"/>
      <c r="BF153" s="130"/>
      <c r="BG153" s="130"/>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30"/>
      <c r="DK153" s="130"/>
      <c r="DL153" s="130"/>
      <c r="DM153" s="130"/>
      <c r="DN153" s="130"/>
      <c r="DO153" s="130"/>
      <c r="DP153" s="130"/>
      <c r="DQ153" s="130"/>
      <c r="DR153" s="130"/>
      <c r="DS153" s="130"/>
      <c r="DT153" s="130"/>
      <c r="DU153" s="130"/>
      <c r="DV153" s="130"/>
      <c r="DW153" s="130"/>
      <c r="DX153" s="130"/>
      <c r="DY153" s="130"/>
      <c r="DZ153" s="130"/>
      <c r="EA153" s="130"/>
      <c r="EB153" s="130"/>
      <c r="EC153" s="130"/>
      <c r="ED153" s="130"/>
      <c r="EE153" s="130"/>
      <c r="EF153" s="130"/>
      <c r="EG153" s="130"/>
      <c r="EH153" s="130"/>
      <c r="EI153" s="130"/>
      <c r="EJ153" s="130"/>
      <c r="EK153" s="130"/>
      <c r="EL153" s="130"/>
      <c r="EM153" s="130"/>
      <c r="EN153" s="130"/>
      <c r="EO153" s="130"/>
      <c r="EP153" s="130"/>
      <c r="EQ153" s="130"/>
      <c r="ER153" s="130"/>
      <c r="ES153" s="130"/>
      <c r="ET153" s="130"/>
      <c r="EU153" s="130"/>
      <c r="EV153" s="130"/>
      <c r="EW153" s="130"/>
      <c r="EX153" s="130"/>
      <c r="EY153" s="130"/>
      <c r="EZ153" s="130"/>
      <c r="FA153" s="130"/>
      <c r="FB153" s="130"/>
      <c r="FC153" s="130"/>
      <c r="FD153" s="130"/>
      <c r="FE153" s="130"/>
      <c r="FF153" s="130"/>
      <c r="FG153" s="130"/>
      <c r="FH153" s="130"/>
      <c r="FI153" s="130"/>
      <c r="FJ153" s="130"/>
      <c r="FK153" s="130"/>
      <c r="FL153" s="130"/>
      <c r="FM153" s="130"/>
      <c r="FN153" s="130"/>
      <c r="FO153" s="130"/>
      <c r="FP153" s="130"/>
      <c r="FQ153" s="130"/>
      <c r="FR153" s="130"/>
      <c r="FS153" s="130"/>
      <c r="FT153" s="130"/>
      <c r="FU153" s="130"/>
      <c r="FV153" s="130"/>
      <c r="FW153" s="130"/>
      <c r="FX153" s="130"/>
      <c r="FY153" s="130"/>
      <c r="FZ153" s="130"/>
      <c r="GA153" s="130"/>
      <c r="GB153" s="130"/>
      <c r="GC153" s="130"/>
      <c r="GD153" s="130"/>
      <c r="GE153" s="130"/>
      <c r="GF153" s="130"/>
      <c r="GG153" s="130"/>
      <c r="GH153" s="130"/>
      <c r="GI153" s="130"/>
      <c r="GJ153" s="130"/>
      <c r="GK153" s="130"/>
      <c r="GL153" s="130"/>
      <c r="GM153" s="130"/>
      <c r="GN153" s="130"/>
      <c r="GO153" s="130"/>
      <c r="GP153" s="130"/>
      <c r="GQ153" s="130"/>
      <c r="GR153" s="130"/>
      <c r="GS153" s="130"/>
      <c r="GT153" s="130"/>
      <c r="GU153" s="130"/>
      <c r="GV153" s="130"/>
      <c r="GW153" s="130"/>
      <c r="GX153" s="130"/>
      <c r="GY153" s="130"/>
      <c r="GZ153" s="130"/>
      <c r="HA153" s="130"/>
      <c r="HB153" s="130"/>
      <c r="HC153" s="130"/>
      <c r="HD153" s="130"/>
      <c r="HE153" s="130"/>
      <c r="HF153" s="130"/>
      <c r="HG153" s="130"/>
      <c r="HH153" s="130"/>
      <c r="HI153" s="130"/>
      <c r="HJ153" s="130"/>
      <c r="HK153" s="130"/>
      <c r="HL153" s="130"/>
      <c r="HM153" s="130"/>
      <c r="HN153" s="130"/>
      <c r="HO153" s="130"/>
      <c r="HP153" s="130"/>
      <c r="HQ153" s="130"/>
      <c r="HR153" s="130"/>
      <c r="HS153" s="130"/>
      <c r="HT153" s="130"/>
      <c r="HU153" s="130"/>
      <c r="HV153" s="130"/>
      <c r="HW153" s="130"/>
      <c r="HX153" s="130"/>
      <c r="HY153" s="130"/>
      <c r="HZ153" s="130"/>
      <c r="IA153" s="130"/>
      <c r="IB153" s="130"/>
      <c r="IC153" s="130"/>
      <c r="ID153" s="130"/>
      <c r="IE153" s="130"/>
      <c r="IF153" s="130"/>
      <c r="IG153" s="130"/>
      <c r="IH153" s="130"/>
      <c r="II153" s="130"/>
      <c r="IJ153" s="130"/>
      <c r="IK153" s="130"/>
      <c r="IL153" s="130"/>
      <c r="IM153" s="130"/>
      <c r="IN153" s="130"/>
      <c r="IO153" s="130"/>
      <c r="IP153" s="130"/>
      <c r="IQ153" s="130"/>
      <c r="IR153" s="130"/>
      <c r="IS153" s="130"/>
      <c r="IT153" s="130"/>
      <c r="IU153" s="130"/>
    </row>
    <row r="154" spans="1:255" s="123" customFormat="1" ht="39" customHeight="1">
      <c r="A154" s="216">
        <v>10</v>
      </c>
      <c r="B154" s="223" t="s">
        <v>588</v>
      </c>
      <c r="C154" s="217">
        <v>62</v>
      </c>
      <c r="D154" s="217">
        <v>486</v>
      </c>
      <c r="E154" s="218">
        <v>971.5</v>
      </c>
      <c r="F154" s="218" t="s">
        <v>26</v>
      </c>
      <c r="G154" s="220">
        <v>972</v>
      </c>
      <c r="H154" s="220">
        <f>E154-G154</f>
        <v>-0.5</v>
      </c>
      <c r="I154" s="220">
        <v>972</v>
      </c>
      <c r="J154" s="220">
        <v>1566</v>
      </c>
      <c r="K154" s="124"/>
      <c r="L154" s="214">
        <f>(I154+G160+G165)/J154*100</f>
        <v>100</v>
      </c>
      <c r="M154" s="215">
        <f>IF(L154&lt;10,2,IF(L154&lt;20,3,IF(L154&lt;30,5,IF(L154&gt;=70,12,IF(L154&gt;=30,6)))))</f>
        <v>12</v>
      </c>
      <c r="N154" s="215">
        <v>4</v>
      </c>
      <c r="O154" s="215">
        <f>$O$6</f>
        <v>80000</v>
      </c>
      <c r="P154" s="215">
        <f>(I154+G160+G165)*O154</f>
        <v>125280000</v>
      </c>
      <c r="Q154" s="215">
        <f>$Q$6*(I154+G160+G165)</f>
        <v>375840000</v>
      </c>
      <c r="R154" s="215">
        <f>M154*N154*$R$6</f>
        <v>24480000</v>
      </c>
      <c r="S154" s="215">
        <f>R154+Q154+P154</f>
        <v>525600000</v>
      </c>
      <c r="T154" s="126" t="s">
        <v>589</v>
      </c>
      <c r="U154" s="112">
        <v>25</v>
      </c>
      <c r="V154" s="127">
        <f>G154/U154</f>
        <v>38.880000000000003</v>
      </c>
      <c r="W154" s="125" t="str">
        <f>'[1]bang gia'!$C$46</f>
        <v>đồng/cây</v>
      </c>
      <c r="X154" s="120">
        <v>10</v>
      </c>
      <c r="Y154" s="98"/>
      <c r="Z154" s="124"/>
      <c r="AA154" s="121"/>
      <c r="AB154" s="122"/>
      <c r="AC154" s="212">
        <f>SUM(AB154:AB159)</f>
        <v>149200000</v>
      </c>
      <c r="AD154" s="212">
        <f>AC154+AC160+AC165+S154</f>
        <v>793800000</v>
      </c>
      <c r="AE154" s="226" t="s">
        <v>590</v>
      </c>
      <c r="AF154" s="130"/>
      <c r="AG154" s="130"/>
      <c r="AH154" s="130"/>
      <c r="AI154" s="130"/>
      <c r="AJ154" s="130"/>
      <c r="AK154" s="130"/>
      <c r="AL154" s="130"/>
      <c r="AM154" s="130"/>
      <c r="AN154" s="130"/>
      <c r="AO154" s="130"/>
      <c r="AP154" s="130"/>
      <c r="AQ154" s="130"/>
      <c r="AR154" s="130"/>
      <c r="AS154" s="130"/>
      <c r="AT154" s="130"/>
      <c r="AU154" s="130"/>
      <c r="AV154" s="130"/>
      <c r="AW154" s="130"/>
      <c r="AX154" s="130"/>
      <c r="AY154" s="130"/>
      <c r="AZ154" s="130"/>
      <c r="BA154" s="130"/>
      <c r="BB154" s="130"/>
      <c r="BC154" s="130"/>
      <c r="BD154" s="130"/>
      <c r="BE154" s="130"/>
      <c r="BF154" s="130"/>
      <c r="BG154" s="130"/>
      <c r="BH154" s="130"/>
      <c r="BI154" s="130"/>
      <c r="BJ154" s="130"/>
      <c r="BK154" s="130"/>
      <c r="BL154" s="130"/>
      <c r="BM154" s="130"/>
      <c r="BN154" s="130"/>
      <c r="BO154" s="130"/>
      <c r="BP154" s="130"/>
      <c r="BQ154" s="130"/>
      <c r="BR154" s="130"/>
      <c r="BS154" s="130"/>
      <c r="BT154" s="130"/>
      <c r="BU154" s="130"/>
      <c r="BV154" s="130"/>
      <c r="BW154" s="130"/>
      <c r="BX154" s="130"/>
      <c r="BY154" s="130"/>
      <c r="BZ154" s="130"/>
      <c r="CA154" s="130"/>
      <c r="CB154" s="130"/>
      <c r="CC154" s="130"/>
      <c r="CD154" s="130"/>
      <c r="CE154" s="130"/>
      <c r="CF154" s="130"/>
      <c r="CG154" s="130"/>
      <c r="CH154" s="130"/>
      <c r="CI154" s="130"/>
      <c r="CJ154" s="130"/>
      <c r="CK154" s="130"/>
      <c r="CL154" s="130"/>
      <c r="CM154" s="130"/>
      <c r="CN154" s="130"/>
      <c r="CO154" s="130"/>
      <c r="CP154" s="130"/>
      <c r="CQ154" s="130"/>
      <c r="CR154" s="130"/>
      <c r="CS154" s="130"/>
      <c r="CT154" s="130"/>
      <c r="CU154" s="130"/>
      <c r="CV154" s="130"/>
      <c r="CW154" s="130"/>
      <c r="CX154" s="130"/>
      <c r="CY154" s="130"/>
      <c r="CZ154" s="130"/>
      <c r="DA154" s="130"/>
      <c r="DB154" s="130"/>
      <c r="DC154" s="130"/>
      <c r="DD154" s="130"/>
      <c r="DE154" s="130"/>
      <c r="DF154" s="130"/>
      <c r="DG154" s="130"/>
      <c r="DH154" s="130"/>
      <c r="DI154" s="130"/>
      <c r="DJ154" s="130"/>
      <c r="DK154" s="130"/>
      <c r="DL154" s="130"/>
      <c r="DM154" s="130"/>
      <c r="DN154" s="130"/>
      <c r="DO154" s="130"/>
      <c r="DP154" s="130"/>
      <c r="DQ154" s="130"/>
      <c r="DR154" s="130"/>
      <c r="DS154" s="130"/>
      <c r="DT154" s="130"/>
      <c r="DU154" s="130"/>
      <c r="DV154" s="130"/>
      <c r="DW154" s="130"/>
      <c r="DX154" s="130"/>
      <c r="DY154" s="130"/>
      <c r="DZ154" s="130"/>
      <c r="EA154" s="130"/>
      <c r="EB154" s="130"/>
      <c r="EC154" s="130"/>
      <c r="ED154" s="130"/>
      <c r="EE154" s="130"/>
      <c r="EF154" s="130"/>
      <c r="EG154" s="130"/>
      <c r="EH154" s="130"/>
      <c r="EI154" s="130"/>
      <c r="EJ154" s="130"/>
      <c r="EK154" s="130"/>
      <c r="EL154" s="130"/>
      <c r="EM154" s="130"/>
      <c r="EN154" s="130"/>
      <c r="EO154" s="130"/>
      <c r="EP154" s="130"/>
      <c r="EQ154" s="130"/>
      <c r="ER154" s="130"/>
      <c r="ES154" s="130"/>
      <c r="ET154" s="130"/>
      <c r="EU154" s="130"/>
      <c r="EV154" s="130"/>
      <c r="EW154" s="130"/>
      <c r="EX154" s="130"/>
      <c r="EY154" s="130"/>
      <c r="EZ154" s="130"/>
      <c r="FA154" s="130"/>
      <c r="FB154" s="130"/>
      <c r="FC154" s="130"/>
      <c r="FD154" s="130"/>
      <c r="FE154" s="130"/>
      <c r="FF154" s="130"/>
      <c r="FG154" s="130"/>
      <c r="FH154" s="130"/>
      <c r="FI154" s="130"/>
      <c r="FJ154" s="130"/>
      <c r="FK154" s="130"/>
      <c r="FL154" s="130"/>
      <c r="FM154" s="130"/>
      <c r="FN154" s="130"/>
      <c r="FO154" s="130"/>
      <c r="FP154" s="130"/>
      <c r="FQ154" s="130"/>
      <c r="FR154" s="130"/>
      <c r="FS154" s="130"/>
      <c r="FT154" s="130"/>
      <c r="FU154" s="130"/>
      <c r="FV154" s="130"/>
      <c r="FW154" s="130"/>
      <c r="FX154" s="130"/>
      <c r="FY154" s="130"/>
      <c r="FZ154" s="130"/>
      <c r="GA154" s="130"/>
      <c r="GB154" s="130"/>
      <c r="GC154" s="130"/>
      <c r="GD154" s="130"/>
      <c r="GE154" s="130"/>
      <c r="GF154" s="130"/>
      <c r="GG154" s="130"/>
      <c r="GH154" s="130"/>
      <c r="GI154" s="130"/>
      <c r="GJ154" s="130"/>
      <c r="GK154" s="130"/>
      <c r="GL154" s="130"/>
      <c r="GM154" s="130"/>
      <c r="GN154" s="130"/>
      <c r="GO154" s="130"/>
      <c r="GP154" s="130"/>
      <c r="GQ154" s="130"/>
      <c r="GR154" s="130"/>
      <c r="GS154" s="130"/>
      <c r="GT154" s="130"/>
      <c r="GU154" s="130"/>
      <c r="GV154" s="130"/>
      <c r="GW154" s="130"/>
      <c r="GX154" s="130"/>
      <c r="GY154" s="130"/>
      <c r="GZ154" s="130"/>
      <c r="HA154" s="130"/>
      <c r="HB154" s="130"/>
      <c r="HC154" s="130"/>
      <c r="HD154" s="130"/>
      <c r="HE154" s="130"/>
      <c r="HF154" s="130"/>
      <c r="HG154" s="130"/>
      <c r="HH154" s="130"/>
      <c r="HI154" s="130"/>
      <c r="HJ154" s="130"/>
      <c r="HK154" s="130"/>
      <c r="HL154" s="130"/>
      <c r="HM154" s="130"/>
      <c r="HN154" s="130"/>
      <c r="HO154" s="130"/>
      <c r="HP154" s="130"/>
      <c r="HQ154" s="130"/>
      <c r="HR154" s="130"/>
      <c r="HS154" s="130"/>
      <c r="HT154" s="130"/>
      <c r="HU154" s="130"/>
      <c r="HV154" s="130"/>
      <c r="HW154" s="130"/>
      <c r="HX154" s="130"/>
      <c r="HY154" s="130"/>
      <c r="HZ154" s="130"/>
      <c r="IA154" s="130"/>
      <c r="IB154" s="130"/>
      <c r="IC154" s="130"/>
      <c r="ID154" s="130"/>
      <c r="IE154" s="130"/>
      <c r="IF154" s="130"/>
      <c r="IG154" s="130"/>
      <c r="IH154" s="130"/>
      <c r="II154" s="130"/>
      <c r="IJ154" s="130"/>
      <c r="IK154" s="130"/>
      <c r="IL154" s="130"/>
      <c r="IM154" s="130"/>
      <c r="IN154" s="130"/>
      <c r="IO154" s="130"/>
      <c r="IP154" s="130"/>
      <c r="IQ154" s="130"/>
      <c r="IR154" s="130"/>
      <c r="IS154" s="130"/>
      <c r="IT154" s="130"/>
      <c r="IU154" s="130"/>
    </row>
    <row r="155" spans="1:255" s="123" customFormat="1" ht="27" customHeight="1">
      <c r="A155" s="216"/>
      <c r="B155" s="223"/>
      <c r="C155" s="217"/>
      <c r="D155" s="217"/>
      <c r="E155" s="218"/>
      <c r="F155" s="218"/>
      <c r="G155" s="220"/>
      <c r="H155" s="220"/>
      <c r="I155" s="220"/>
      <c r="J155" s="220"/>
      <c r="K155" s="124"/>
      <c r="L155" s="214"/>
      <c r="M155" s="215"/>
      <c r="N155" s="215"/>
      <c r="O155" s="215"/>
      <c r="P155" s="215"/>
      <c r="Q155" s="215"/>
      <c r="R155" s="215"/>
      <c r="S155" s="215"/>
      <c r="T155" s="133" t="s">
        <v>399</v>
      </c>
      <c r="U155" s="112"/>
      <c r="V155" s="125"/>
      <c r="W155" s="125" t="str">
        <f>'[1]bang gia'!$C$46</f>
        <v>đồng/cây</v>
      </c>
      <c r="X155" s="120">
        <v>10</v>
      </c>
      <c r="Y155" s="98">
        <v>4500000</v>
      </c>
      <c r="Z155" s="124"/>
      <c r="AA155" s="121">
        <v>1</v>
      </c>
      <c r="AB155" s="122">
        <f>X155*Y155*AA155</f>
        <v>45000000</v>
      </c>
      <c r="AC155" s="212"/>
      <c r="AD155" s="212"/>
      <c r="AE155" s="227"/>
      <c r="AF155" s="130"/>
      <c r="AG155" s="130"/>
      <c r="AH155" s="130"/>
      <c r="AI155" s="130"/>
      <c r="AJ155" s="130"/>
      <c r="AK155" s="130"/>
      <c r="AL155" s="130"/>
      <c r="AM155" s="130"/>
      <c r="AN155" s="130"/>
      <c r="AO155" s="130"/>
      <c r="AP155" s="130"/>
      <c r="AQ155" s="130"/>
      <c r="AR155" s="130"/>
      <c r="AS155" s="130"/>
      <c r="AT155" s="130"/>
      <c r="AU155" s="130"/>
      <c r="AV155" s="130"/>
      <c r="AW155" s="130"/>
      <c r="AX155" s="130"/>
      <c r="AY155" s="130"/>
      <c r="AZ155" s="130"/>
      <c r="BA155" s="130"/>
      <c r="BB155" s="130"/>
      <c r="BC155" s="130"/>
      <c r="BD155" s="130"/>
      <c r="BE155" s="130"/>
      <c r="BF155" s="130"/>
      <c r="BG155" s="130"/>
      <c r="BH155" s="130"/>
      <c r="BI155" s="130"/>
      <c r="BJ155" s="130"/>
      <c r="BK155" s="130"/>
      <c r="BL155" s="130"/>
      <c r="BM155" s="130"/>
      <c r="BN155" s="130"/>
      <c r="BO155" s="130"/>
      <c r="BP155" s="130"/>
      <c r="BQ155" s="130"/>
      <c r="BR155" s="130"/>
      <c r="BS155" s="130"/>
      <c r="BT155" s="130"/>
      <c r="BU155" s="130"/>
      <c r="BV155" s="130"/>
      <c r="BW155" s="130"/>
      <c r="BX155" s="130"/>
      <c r="BY155" s="130"/>
      <c r="BZ155" s="130"/>
      <c r="CA155" s="130"/>
      <c r="CB155" s="130"/>
      <c r="CC155" s="130"/>
      <c r="CD155" s="130"/>
      <c r="CE155" s="130"/>
      <c r="CF155" s="130"/>
      <c r="CG155" s="130"/>
      <c r="CH155" s="130"/>
      <c r="CI155" s="130"/>
      <c r="CJ155" s="130"/>
      <c r="CK155" s="130"/>
      <c r="CL155" s="130"/>
      <c r="CM155" s="130"/>
      <c r="CN155" s="130"/>
      <c r="CO155" s="130"/>
      <c r="CP155" s="130"/>
      <c r="CQ155" s="130"/>
      <c r="CR155" s="130"/>
      <c r="CS155" s="130"/>
      <c r="CT155" s="130"/>
      <c r="CU155" s="130"/>
      <c r="CV155" s="130"/>
      <c r="CW155" s="130"/>
      <c r="CX155" s="130"/>
      <c r="CY155" s="130"/>
      <c r="CZ155" s="130"/>
      <c r="DA155" s="130"/>
      <c r="DB155" s="130"/>
      <c r="DC155" s="130"/>
      <c r="DD155" s="130"/>
      <c r="DE155" s="130"/>
      <c r="DF155" s="130"/>
      <c r="DG155" s="130"/>
      <c r="DH155" s="130"/>
      <c r="DI155" s="130"/>
      <c r="DJ155" s="130"/>
      <c r="DK155" s="130"/>
      <c r="DL155" s="130"/>
      <c r="DM155" s="130"/>
      <c r="DN155" s="130"/>
      <c r="DO155" s="130"/>
      <c r="DP155" s="130"/>
      <c r="DQ155" s="130"/>
      <c r="DR155" s="130"/>
      <c r="DS155" s="130"/>
      <c r="DT155" s="130"/>
      <c r="DU155" s="130"/>
      <c r="DV155" s="130"/>
      <c r="DW155" s="130"/>
      <c r="DX155" s="130"/>
      <c r="DY155" s="130"/>
      <c r="DZ155" s="130"/>
      <c r="EA155" s="130"/>
      <c r="EB155" s="130"/>
      <c r="EC155" s="130"/>
      <c r="ED155" s="130"/>
      <c r="EE155" s="130"/>
      <c r="EF155" s="130"/>
      <c r="EG155" s="130"/>
      <c r="EH155" s="130"/>
      <c r="EI155" s="130"/>
      <c r="EJ155" s="130"/>
      <c r="EK155" s="130"/>
      <c r="EL155" s="130"/>
      <c r="EM155" s="130"/>
      <c r="EN155" s="130"/>
      <c r="EO155" s="130"/>
      <c r="EP155" s="130"/>
      <c r="EQ155" s="130"/>
      <c r="ER155" s="130"/>
      <c r="ES155" s="130"/>
      <c r="ET155" s="130"/>
      <c r="EU155" s="130"/>
      <c r="EV155" s="130"/>
      <c r="EW155" s="130"/>
      <c r="EX155" s="130"/>
      <c r="EY155" s="130"/>
      <c r="EZ155" s="130"/>
      <c r="FA155" s="130"/>
      <c r="FB155" s="130"/>
      <c r="FC155" s="130"/>
      <c r="FD155" s="130"/>
      <c r="FE155" s="130"/>
      <c r="FF155" s="130"/>
      <c r="FG155" s="130"/>
      <c r="FH155" s="130"/>
      <c r="FI155" s="130"/>
      <c r="FJ155" s="130"/>
      <c r="FK155" s="130"/>
      <c r="FL155" s="130"/>
      <c r="FM155" s="130"/>
      <c r="FN155" s="130"/>
      <c r="FO155" s="130"/>
      <c r="FP155" s="130"/>
      <c r="FQ155" s="130"/>
      <c r="FR155" s="130"/>
      <c r="FS155" s="130"/>
      <c r="FT155" s="130"/>
      <c r="FU155" s="130"/>
      <c r="FV155" s="130"/>
      <c r="FW155" s="130"/>
      <c r="FX155" s="130"/>
      <c r="FY155" s="130"/>
      <c r="FZ155" s="130"/>
      <c r="GA155" s="130"/>
      <c r="GB155" s="130"/>
      <c r="GC155" s="130"/>
      <c r="GD155" s="130"/>
      <c r="GE155" s="130"/>
      <c r="GF155" s="130"/>
      <c r="GG155" s="130"/>
      <c r="GH155" s="130"/>
      <c r="GI155" s="130"/>
      <c r="GJ155" s="130"/>
      <c r="GK155" s="130"/>
      <c r="GL155" s="130"/>
      <c r="GM155" s="130"/>
      <c r="GN155" s="130"/>
      <c r="GO155" s="130"/>
      <c r="GP155" s="130"/>
      <c r="GQ155" s="130"/>
      <c r="GR155" s="130"/>
      <c r="GS155" s="130"/>
      <c r="GT155" s="130"/>
      <c r="GU155" s="130"/>
      <c r="GV155" s="130"/>
      <c r="GW155" s="130"/>
      <c r="GX155" s="130"/>
      <c r="GY155" s="130"/>
      <c r="GZ155" s="130"/>
      <c r="HA155" s="130"/>
      <c r="HB155" s="130"/>
      <c r="HC155" s="130"/>
      <c r="HD155" s="130"/>
      <c r="HE155" s="130"/>
      <c r="HF155" s="130"/>
      <c r="HG155" s="130"/>
      <c r="HH155" s="130"/>
      <c r="HI155" s="130"/>
      <c r="HJ155" s="130"/>
      <c r="HK155" s="130"/>
      <c r="HL155" s="130"/>
      <c r="HM155" s="130"/>
      <c r="HN155" s="130"/>
      <c r="HO155" s="130"/>
      <c r="HP155" s="130"/>
      <c r="HQ155" s="130"/>
      <c r="HR155" s="130"/>
      <c r="HS155" s="130"/>
      <c r="HT155" s="130"/>
      <c r="HU155" s="130"/>
      <c r="HV155" s="130"/>
      <c r="HW155" s="130"/>
      <c r="HX155" s="130"/>
      <c r="HY155" s="130"/>
      <c r="HZ155" s="130"/>
      <c r="IA155" s="130"/>
      <c r="IB155" s="130"/>
      <c r="IC155" s="130"/>
      <c r="ID155" s="130"/>
      <c r="IE155" s="130"/>
      <c r="IF155" s="130"/>
      <c r="IG155" s="130"/>
      <c r="IH155" s="130"/>
      <c r="II155" s="130"/>
      <c r="IJ155" s="130"/>
      <c r="IK155" s="130"/>
      <c r="IL155" s="130"/>
      <c r="IM155" s="130"/>
      <c r="IN155" s="130"/>
      <c r="IO155" s="130"/>
      <c r="IP155" s="130"/>
      <c r="IQ155" s="130"/>
      <c r="IR155" s="130"/>
      <c r="IS155" s="130"/>
      <c r="IT155" s="130"/>
      <c r="IU155" s="130"/>
    </row>
    <row r="156" spans="1:255" s="123" customFormat="1" ht="37.5" customHeight="1">
      <c r="A156" s="216"/>
      <c r="B156" s="223"/>
      <c r="C156" s="217"/>
      <c r="D156" s="217"/>
      <c r="E156" s="218"/>
      <c r="F156" s="218"/>
      <c r="G156" s="220"/>
      <c r="H156" s="220"/>
      <c r="I156" s="220"/>
      <c r="J156" s="220"/>
      <c r="K156" s="124"/>
      <c r="L156" s="214"/>
      <c r="M156" s="215"/>
      <c r="N156" s="215"/>
      <c r="O156" s="215"/>
      <c r="P156" s="215"/>
      <c r="Q156" s="215"/>
      <c r="R156" s="215"/>
      <c r="S156" s="215"/>
      <c r="T156" s="94" t="s">
        <v>591</v>
      </c>
      <c r="U156" s="112"/>
      <c r="V156" s="125"/>
      <c r="W156" s="125" t="str">
        <f>'[1]bang gia'!$C$45</f>
        <v>đồng/cây</v>
      </c>
      <c r="X156" s="120">
        <v>17</v>
      </c>
      <c r="Y156" s="98"/>
      <c r="Z156" s="124"/>
      <c r="AA156" s="121"/>
      <c r="AB156" s="122"/>
      <c r="AC156" s="212"/>
      <c r="AD156" s="212"/>
      <c r="AE156" s="130"/>
      <c r="AF156" s="130"/>
      <c r="AG156" s="130"/>
      <c r="AH156" s="130"/>
      <c r="AI156" s="130"/>
      <c r="AJ156" s="130"/>
      <c r="AK156" s="130"/>
      <c r="AL156" s="130"/>
      <c r="AM156" s="130"/>
      <c r="AN156" s="130"/>
      <c r="AO156" s="130"/>
      <c r="AP156" s="130"/>
      <c r="AQ156" s="130"/>
      <c r="AR156" s="130"/>
      <c r="AS156" s="130"/>
      <c r="AT156" s="130"/>
      <c r="AU156" s="130"/>
      <c r="AV156" s="130"/>
      <c r="AW156" s="130"/>
      <c r="AX156" s="130"/>
      <c r="AY156" s="130"/>
      <c r="AZ156" s="130"/>
      <c r="BA156" s="130"/>
      <c r="BB156" s="130"/>
      <c r="BC156" s="130"/>
      <c r="BD156" s="130"/>
      <c r="BE156" s="130"/>
      <c r="BF156" s="130"/>
      <c r="BG156" s="130"/>
      <c r="BH156" s="130"/>
      <c r="BI156" s="130"/>
      <c r="BJ156" s="130"/>
      <c r="BK156" s="130"/>
      <c r="BL156" s="130"/>
      <c r="BM156" s="130"/>
      <c r="BN156" s="130"/>
      <c r="BO156" s="130"/>
      <c r="BP156" s="130"/>
      <c r="BQ156" s="130"/>
      <c r="BR156" s="130"/>
      <c r="BS156" s="130"/>
      <c r="BT156" s="130"/>
      <c r="BU156" s="130"/>
      <c r="BV156" s="130"/>
      <c r="BW156" s="130"/>
      <c r="BX156" s="130"/>
      <c r="BY156" s="130"/>
      <c r="BZ156" s="130"/>
      <c r="CA156" s="130"/>
      <c r="CB156" s="130"/>
      <c r="CC156" s="130"/>
      <c r="CD156" s="130"/>
      <c r="CE156" s="130"/>
      <c r="CF156" s="130"/>
      <c r="CG156" s="130"/>
      <c r="CH156" s="130"/>
      <c r="CI156" s="130"/>
      <c r="CJ156" s="130"/>
      <c r="CK156" s="130"/>
      <c r="CL156" s="130"/>
      <c r="CM156" s="130"/>
      <c r="CN156" s="130"/>
      <c r="CO156" s="130"/>
      <c r="CP156" s="130"/>
      <c r="CQ156" s="130"/>
      <c r="CR156" s="130"/>
      <c r="CS156" s="130"/>
      <c r="CT156" s="130"/>
      <c r="CU156" s="130"/>
      <c r="CV156" s="130"/>
      <c r="CW156" s="130"/>
      <c r="CX156" s="130"/>
      <c r="CY156" s="130"/>
      <c r="CZ156" s="130"/>
      <c r="DA156" s="130"/>
      <c r="DB156" s="130"/>
      <c r="DC156" s="130"/>
      <c r="DD156" s="130"/>
      <c r="DE156" s="130"/>
      <c r="DF156" s="130"/>
      <c r="DG156" s="130"/>
      <c r="DH156" s="130"/>
      <c r="DI156" s="130"/>
      <c r="DJ156" s="130"/>
      <c r="DK156" s="130"/>
      <c r="DL156" s="130"/>
      <c r="DM156" s="130"/>
      <c r="DN156" s="130"/>
      <c r="DO156" s="130"/>
      <c r="DP156" s="130"/>
      <c r="DQ156" s="130"/>
      <c r="DR156" s="130"/>
      <c r="DS156" s="130"/>
      <c r="DT156" s="130"/>
      <c r="DU156" s="130"/>
      <c r="DV156" s="130"/>
      <c r="DW156" s="130"/>
      <c r="DX156" s="130"/>
      <c r="DY156" s="130"/>
      <c r="DZ156" s="130"/>
      <c r="EA156" s="130"/>
      <c r="EB156" s="130"/>
      <c r="EC156" s="130"/>
      <c r="ED156" s="130"/>
      <c r="EE156" s="130"/>
      <c r="EF156" s="130"/>
      <c r="EG156" s="130"/>
      <c r="EH156" s="130"/>
      <c r="EI156" s="130"/>
      <c r="EJ156" s="130"/>
      <c r="EK156" s="130"/>
      <c r="EL156" s="130"/>
      <c r="EM156" s="130"/>
      <c r="EN156" s="130"/>
      <c r="EO156" s="130"/>
      <c r="EP156" s="130"/>
      <c r="EQ156" s="130"/>
      <c r="ER156" s="130"/>
      <c r="ES156" s="130"/>
      <c r="ET156" s="130"/>
      <c r="EU156" s="130"/>
      <c r="EV156" s="130"/>
      <c r="EW156" s="130"/>
      <c r="EX156" s="130"/>
      <c r="EY156" s="130"/>
      <c r="EZ156" s="130"/>
      <c r="FA156" s="130"/>
      <c r="FB156" s="130"/>
      <c r="FC156" s="130"/>
      <c r="FD156" s="130"/>
      <c r="FE156" s="130"/>
      <c r="FF156" s="130"/>
      <c r="FG156" s="130"/>
      <c r="FH156" s="130"/>
      <c r="FI156" s="130"/>
      <c r="FJ156" s="130"/>
      <c r="FK156" s="130"/>
      <c r="FL156" s="130"/>
      <c r="FM156" s="130"/>
      <c r="FN156" s="130"/>
      <c r="FO156" s="130"/>
      <c r="FP156" s="130"/>
      <c r="FQ156" s="130"/>
      <c r="FR156" s="130"/>
      <c r="FS156" s="130"/>
      <c r="FT156" s="130"/>
      <c r="FU156" s="130"/>
      <c r="FV156" s="130"/>
      <c r="FW156" s="130"/>
      <c r="FX156" s="130"/>
      <c r="FY156" s="130"/>
      <c r="FZ156" s="130"/>
      <c r="GA156" s="130"/>
      <c r="GB156" s="130"/>
      <c r="GC156" s="130"/>
      <c r="GD156" s="130"/>
      <c r="GE156" s="130"/>
      <c r="GF156" s="130"/>
      <c r="GG156" s="130"/>
      <c r="GH156" s="130"/>
      <c r="GI156" s="130"/>
      <c r="GJ156" s="130"/>
      <c r="GK156" s="130"/>
      <c r="GL156" s="130"/>
      <c r="GM156" s="130"/>
      <c r="GN156" s="130"/>
      <c r="GO156" s="130"/>
      <c r="GP156" s="130"/>
      <c r="GQ156" s="130"/>
      <c r="GR156" s="130"/>
      <c r="GS156" s="130"/>
      <c r="GT156" s="130"/>
      <c r="GU156" s="130"/>
      <c r="GV156" s="130"/>
      <c r="GW156" s="130"/>
      <c r="GX156" s="130"/>
      <c r="GY156" s="130"/>
      <c r="GZ156" s="130"/>
      <c r="HA156" s="130"/>
      <c r="HB156" s="130"/>
      <c r="HC156" s="130"/>
      <c r="HD156" s="130"/>
      <c r="HE156" s="130"/>
      <c r="HF156" s="130"/>
      <c r="HG156" s="130"/>
      <c r="HH156" s="130"/>
      <c r="HI156" s="130"/>
      <c r="HJ156" s="130"/>
      <c r="HK156" s="130"/>
      <c r="HL156" s="130"/>
      <c r="HM156" s="130"/>
      <c r="HN156" s="130"/>
      <c r="HO156" s="130"/>
      <c r="HP156" s="130"/>
      <c r="HQ156" s="130"/>
      <c r="HR156" s="130"/>
      <c r="HS156" s="130"/>
      <c r="HT156" s="130"/>
      <c r="HU156" s="130"/>
      <c r="HV156" s="130"/>
      <c r="HW156" s="130"/>
      <c r="HX156" s="130"/>
      <c r="HY156" s="130"/>
      <c r="HZ156" s="130"/>
      <c r="IA156" s="130"/>
      <c r="IB156" s="130"/>
      <c r="IC156" s="130"/>
      <c r="ID156" s="130"/>
      <c r="IE156" s="130"/>
      <c r="IF156" s="130"/>
      <c r="IG156" s="130"/>
      <c r="IH156" s="130"/>
      <c r="II156" s="130"/>
      <c r="IJ156" s="130"/>
      <c r="IK156" s="130"/>
      <c r="IL156" s="130"/>
      <c r="IM156" s="130"/>
      <c r="IN156" s="130"/>
      <c r="IO156" s="130"/>
      <c r="IP156" s="130"/>
      <c r="IQ156" s="130"/>
      <c r="IR156" s="130"/>
      <c r="IS156" s="130"/>
      <c r="IT156" s="130"/>
      <c r="IU156" s="130"/>
    </row>
    <row r="157" spans="1:255" s="123" customFormat="1" ht="27" customHeight="1">
      <c r="A157" s="216"/>
      <c r="B157" s="223"/>
      <c r="C157" s="217"/>
      <c r="D157" s="217"/>
      <c r="E157" s="218"/>
      <c r="F157" s="218"/>
      <c r="G157" s="220"/>
      <c r="H157" s="220"/>
      <c r="I157" s="220"/>
      <c r="J157" s="220"/>
      <c r="K157" s="124"/>
      <c r="L157" s="214"/>
      <c r="M157" s="215"/>
      <c r="N157" s="215"/>
      <c r="O157" s="215"/>
      <c r="P157" s="215"/>
      <c r="Q157" s="215"/>
      <c r="R157" s="215"/>
      <c r="S157" s="215"/>
      <c r="T157" s="104" t="s">
        <v>399</v>
      </c>
      <c r="U157" s="112"/>
      <c r="V157" s="125"/>
      <c r="W157" s="125" t="str">
        <f>'[1]bang gia'!$C$45</f>
        <v>đồng/cây</v>
      </c>
      <c r="X157" s="120">
        <v>17</v>
      </c>
      <c r="Y157" s="98">
        <v>3850000</v>
      </c>
      <c r="Z157" s="124"/>
      <c r="AA157" s="121">
        <v>1</v>
      </c>
      <c r="AB157" s="122">
        <f>X157*Y157*AA157</f>
        <v>65450000</v>
      </c>
      <c r="AC157" s="212"/>
      <c r="AD157" s="212"/>
      <c r="AE157" s="130"/>
      <c r="AF157" s="130"/>
      <c r="AG157" s="130"/>
      <c r="AH157" s="130"/>
      <c r="AI157" s="130"/>
      <c r="AJ157" s="130"/>
      <c r="AK157" s="130"/>
      <c r="AL157" s="130"/>
      <c r="AM157" s="130"/>
      <c r="AN157" s="130"/>
      <c r="AO157" s="130"/>
      <c r="AP157" s="130"/>
      <c r="AQ157" s="130"/>
      <c r="AR157" s="130"/>
      <c r="AS157" s="130"/>
      <c r="AT157" s="130"/>
      <c r="AU157" s="130"/>
      <c r="AV157" s="130"/>
      <c r="AW157" s="130"/>
      <c r="AX157" s="130"/>
      <c r="AY157" s="130"/>
      <c r="AZ157" s="130"/>
      <c r="BA157" s="130"/>
      <c r="BB157" s="130"/>
      <c r="BC157" s="130"/>
      <c r="BD157" s="130"/>
      <c r="BE157" s="130"/>
      <c r="BF157" s="130"/>
      <c r="BG157" s="130"/>
      <c r="BH157" s="130"/>
      <c r="BI157" s="130"/>
      <c r="BJ157" s="130"/>
      <c r="BK157" s="130"/>
      <c r="BL157" s="130"/>
      <c r="BM157" s="130"/>
      <c r="BN157" s="130"/>
      <c r="BO157" s="130"/>
      <c r="BP157" s="130"/>
      <c r="BQ157" s="130"/>
      <c r="BR157" s="130"/>
      <c r="BS157" s="130"/>
      <c r="BT157" s="130"/>
      <c r="BU157" s="130"/>
      <c r="BV157" s="130"/>
      <c r="BW157" s="130"/>
      <c r="BX157" s="130"/>
      <c r="BY157" s="130"/>
      <c r="BZ157" s="130"/>
      <c r="CA157" s="130"/>
      <c r="CB157" s="130"/>
      <c r="CC157" s="130"/>
      <c r="CD157" s="130"/>
      <c r="CE157" s="130"/>
      <c r="CF157" s="130"/>
      <c r="CG157" s="130"/>
      <c r="CH157" s="130"/>
      <c r="CI157" s="130"/>
      <c r="CJ157" s="130"/>
      <c r="CK157" s="130"/>
      <c r="CL157" s="130"/>
      <c r="CM157" s="130"/>
      <c r="CN157" s="130"/>
      <c r="CO157" s="130"/>
      <c r="CP157" s="130"/>
      <c r="CQ157" s="130"/>
      <c r="CR157" s="130"/>
      <c r="CS157" s="130"/>
      <c r="CT157" s="130"/>
      <c r="CU157" s="130"/>
      <c r="CV157" s="130"/>
      <c r="CW157" s="130"/>
      <c r="CX157" s="130"/>
      <c r="CY157" s="130"/>
      <c r="CZ157" s="130"/>
      <c r="DA157" s="130"/>
      <c r="DB157" s="130"/>
      <c r="DC157" s="130"/>
      <c r="DD157" s="130"/>
      <c r="DE157" s="130"/>
      <c r="DF157" s="130"/>
      <c r="DG157" s="130"/>
      <c r="DH157" s="130"/>
      <c r="DI157" s="130"/>
      <c r="DJ157" s="130"/>
      <c r="DK157" s="130"/>
      <c r="DL157" s="130"/>
      <c r="DM157" s="130"/>
      <c r="DN157" s="130"/>
      <c r="DO157" s="130"/>
      <c r="DP157" s="130"/>
      <c r="DQ157" s="130"/>
      <c r="DR157" s="130"/>
      <c r="DS157" s="130"/>
      <c r="DT157" s="130"/>
      <c r="DU157" s="130"/>
      <c r="DV157" s="130"/>
      <c r="DW157" s="130"/>
      <c r="DX157" s="130"/>
      <c r="DY157" s="130"/>
      <c r="DZ157" s="130"/>
      <c r="EA157" s="130"/>
      <c r="EB157" s="130"/>
      <c r="EC157" s="130"/>
      <c r="ED157" s="130"/>
      <c r="EE157" s="130"/>
      <c r="EF157" s="130"/>
      <c r="EG157" s="130"/>
      <c r="EH157" s="130"/>
      <c r="EI157" s="130"/>
      <c r="EJ157" s="130"/>
      <c r="EK157" s="130"/>
      <c r="EL157" s="130"/>
      <c r="EM157" s="130"/>
      <c r="EN157" s="130"/>
      <c r="EO157" s="130"/>
      <c r="EP157" s="130"/>
      <c r="EQ157" s="130"/>
      <c r="ER157" s="130"/>
      <c r="ES157" s="130"/>
      <c r="ET157" s="130"/>
      <c r="EU157" s="130"/>
      <c r="EV157" s="130"/>
      <c r="EW157" s="130"/>
      <c r="EX157" s="130"/>
      <c r="EY157" s="130"/>
      <c r="EZ157" s="130"/>
      <c r="FA157" s="130"/>
      <c r="FB157" s="130"/>
      <c r="FC157" s="130"/>
      <c r="FD157" s="130"/>
      <c r="FE157" s="130"/>
      <c r="FF157" s="130"/>
      <c r="FG157" s="130"/>
      <c r="FH157" s="130"/>
      <c r="FI157" s="130"/>
      <c r="FJ157" s="130"/>
      <c r="FK157" s="130"/>
      <c r="FL157" s="130"/>
      <c r="FM157" s="130"/>
      <c r="FN157" s="130"/>
      <c r="FO157" s="130"/>
      <c r="FP157" s="130"/>
      <c r="FQ157" s="130"/>
      <c r="FR157" s="130"/>
      <c r="FS157" s="130"/>
      <c r="FT157" s="130"/>
      <c r="FU157" s="130"/>
      <c r="FV157" s="130"/>
      <c r="FW157" s="130"/>
      <c r="FX157" s="130"/>
      <c r="FY157" s="130"/>
      <c r="FZ157" s="130"/>
      <c r="GA157" s="130"/>
      <c r="GB157" s="130"/>
      <c r="GC157" s="130"/>
      <c r="GD157" s="130"/>
      <c r="GE157" s="130"/>
      <c r="GF157" s="130"/>
      <c r="GG157" s="130"/>
      <c r="GH157" s="130"/>
      <c r="GI157" s="130"/>
      <c r="GJ157" s="130"/>
      <c r="GK157" s="130"/>
      <c r="GL157" s="130"/>
      <c r="GM157" s="130"/>
      <c r="GN157" s="130"/>
      <c r="GO157" s="130"/>
      <c r="GP157" s="130"/>
      <c r="GQ157" s="130"/>
      <c r="GR157" s="130"/>
      <c r="GS157" s="130"/>
      <c r="GT157" s="130"/>
      <c r="GU157" s="130"/>
      <c r="GV157" s="130"/>
      <c r="GW157" s="130"/>
      <c r="GX157" s="130"/>
      <c r="GY157" s="130"/>
      <c r="GZ157" s="130"/>
      <c r="HA157" s="130"/>
      <c r="HB157" s="130"/>
      <c r="HC157" s="130"/>
      <c r="HD157" s="130"/>
      <c r="HE157" s="130"/>
      <c r="HF157" s="130"/>
      <c r="HG157" s="130"/>
      <c r="HH157" s="130"/>
      <c r="HI157" s="130"/>
      <c r="HJ157" s="130"/>
      <c r="HK157" s="130"/>
      <c r="HL157" s="130"/>
      <c r="HM157" s="130"/>
      <c r="HN157" s="130"/>
      <c r="HO157" s="130"/>
      <c r="HP157" s="130"/>
      <c r="HQ157" s="130"/>
      <c r="HR157" s="130"/>
      <c r="HS157" s="130"/>
      <c r="HT157" s="130"/>
      <c r="HU157" s="130"/>
      <c r="HV157" s="130"/>
      <c r="HW157" s="130"/>
      <c r="HX157" s="130"/>
      <c r="HY157" s="130"/>
      <c r="HZ157" s="130"/>
      <c r="IA157" s="130"/>
      <c r="IB157" s="130"/>
      <c r="IC157" s="130"/>
      <c r="ID157" s="130"/>
      <c r="IE157" s="130"/>
      <c r="IF157" s="130"/>
      <c r="IG157" s="130"/>
      <c r="IH157" s="130"/>
      <c r="II157" s="130"/>
      <c r="IJ157" s="130"/>
      <c r="IK157" s="130"/>
      <c r="IL157" s="130"/>
      <c r="IM157" s="130"/>
      <c r="IN157" s="130"/>
      <c r="IO157" s="130"/>
      <c r="IP157" s="130"/>
      <c r="IQ157" s="130"/>
      <c r="IR157" s="130"/>
      <c r="IS157" s="130"/>
      <c r="IT157" s="130"/>
      <c r="IU157" s="130"/>
    </row>
    <row r="158" spans="1:255" s="123" customFormat="1" ht="34.5" customHeight="1">
      <c r="A158" s="216"/>
      <c r="B158" s="223"/>
      <c r="C158" s="217"/>
      <c r="D158" s="217"/>
      <c r="E158" s="218"/>
      <c r="F158" s="218"/>
      <c r="G158" s="220"/>
      <c r="H158" s="220"/>
      <c r="I158" s="220"/>
      <c r="J158" s="220"/>
      <c r="K158" s="124"/>
      <c r="L158" s="214"/>
      <c r="M158" s="215"/>
      <c r="N158" s="215"/>
      <c r="O158" s="215"/>
      <c r="P158" s="215"/>
      <c r="Q158" s="215"/>
      <c r="R158" s="215"/>
      <c r="S158" s="215"/>
      <c r="T158" s="94" t="s">
        <v>517</v>
      </c>
      <c r="U158" s="112">
        <v>20</v>
      </c>
      <c r="V158" s="127">
        <f>G154/U158</f>
        <v>48.6</v>
      </c>
      <c r="W158" s="125" t="str">
        <f>'[1]bang gia'!$C$45</f>
        <v>đồng/cây</v>
      </c>
      <c r="X158" s="120">
        <v>31</v>
      </c>
      <c r="Y158" s="98"/>
      <c r="Z158" s="124"/>
      <c r="AA158" s="121"/>
      <c r="AB158" s="122"/>
      <c r="AC158" s="212"/>
      <c r="AD158" s="212"/>
      <c r="AE158" s="130"/>
      <c r="AF158" s="130"/>
      <c r="AG158" s="130"/>
      <c r="AH158" s="130"/>
      <c r="AI158" s="130"/>
      <c r="AJ158" s="130"/>
      <c r="AK158" s="130"/>
      <c r="AL158" s="130"/>
      <c r="AM158" s="130"/>
      <c r="AN158" s="130"/>
      <c r="AO158" s="130"/>
      <c r="AP158" s="130"/>
      <c r="AQ158" s="130"/>
      <c r="AR158" s="130"/>
      <c r="AS158" s="130"/>
      <c r="AT158" s="130"/>
      <c r="AU158" s="130"/>
      <c r="AV158" s="130"/>
      <c r="AW158" s="130"/>
      <c r="AX158" s="130"/>
      <c r="AY158" s="130"/>
      <c r="AZ158" s="130"/>
      <c r="BA158" s="130"/>
      <c r="BB158" s="130"/>
      <c r="BC158" s="130"/>
      <c r="BD158" s="130"/>
      <c r="BE158" s="130"/>
      <c r="BF158" s="130"/>
      <c r="BG158" s="130"/>
      <c r="BH158" s="130"/>
      <c r="BI158" s="130"/>
      <c r="BJ158" s="130"/>
      <c r="BK158" s="130"/>
      <c r="BL158" s="130"/>
      <c r="BM158" s="130"/>
      <c r="BN158" s="130"/>
      <c r="BO158" s="130"/>
      <c r="BP158" s="130"/>
      <c r="BQ158" s="130"/>
      <c r="BR158" s="130"/>
      <c r="BS158" s="130"/>
      <c r="BT158" s="130"/>
      <c r="BU158" s="130"/>
      <c r="BV158" s="130"/>
      <c r="BW158" s="130"/>
      <c r="BX158" s="130"/>
      <c r="BY158" s="130"/>
      <c r="BZ158" s="130"/>
      <c r="CA158" s="130"/>
      <c r="CB158" s="130"/>
      <c r="CC158" s="130"/>
      <c r="CD158" s="130"/>
      <c r="CE158" s="130"/>
      <c r="CF158" s="130"/>
      <c r="CG158" s="130"/>
      <c r="CH158" s="130"/>
      <c r="CI158" s="130"/>
      <c r="CJ158" s="130"/>
      <c r="CK158" s="130"/>
      <c r="CL158" s="130"/>
      <c r="CM158" s="130"/>
      <c r="CN158" s="130"/>
      <c r="CO158" s="130"/>
      <c r="CP158" s="130"/>
      <c r="CQ158" s="130"/>
      <c r="CR158" s="130"/>
      <c r="CS158" s="130"/>
      <c r="CT158" s="130"/>
      <c r="CU158" s="130"/>
      <c r="CV158" s="130"/>
      <c r="CW158" s="130"/>
      <c r="CX158" s="130"/>
      <c r="CY158" s="130"/>
      <c r="CZ158" s="130"/>
      <c r="DA158" s="130"/>
      <c r="DB158" s="130"/>
      <c r="DC158" s="130"/>
      <c r="DD158" s="130"/>
      <c r="DE158" s="130"/>
      <c r="DF158" s="130"/>
      <c r="DG158" s="130"/>
      <c r="DH158" s="130"/>
      <c r="DI158" s="130"/>
      <c r="DJ158" s="130"/>
      <c r="DK158" s="130"/>
      <c r="DL158" s="130"/>
      <c r="DM158" s="130"/>
      <c r="DN158" s="130"/>
      <c r="DO158" s="130"/>
      <c r="DP158" s="130"/>
      <c r="DQ158" s="130"/>
      <c r="DR158" s="130"/>
      <c r="DS158" s="130"/>
      <c r="DT158" s="130"/>
      <c r="DU158" s="130"/>
      <c r="DV158" s="130"/>
      <c r="DW158" s="130"/>
      <c r="DX158" s="130"/>
      <c r="DY158" s="130"/>
      <c r="DZ158" s="130"/>
      <c r="EA158" s="130"/>
      <c r="EB158" s="130"/>
      <c r="EC158" s="130"/>
      <c r="ED158" s="130"/>
      <c r="EE158" s="130"/>
      <c r="EF158" s="130"/>
      <c r="EG158" s="130"/>
      <c r="EH158" s="130"/>
      <c r="EI158" s="130"/>
      <c r="EJ158" s="130"/>
      <c r="EK158" s="130"/>
      <c r="EL158" s="130"/>
      <c r="EM158" s="130"/>
      <c r="EN158" s="130"/>
      <c r="EO158" s="130"/>
      <c r="EP158" s="130"/>
      <c r="EQ158" s="130"/>
      <c r="ER158" s="130"/>
      <c r="ES158" s="130"/>
      <c r="ET158" s="130"/>
      <c r="EU158" s="130"/>
      <c r="EV158" s="130"/>
      <c r="EW158" s="130"/>
      <c r="EX158" s="130"/>
      <c r="EY158" s="130"/>
      <c r="EZ158" s="130"/>
      <c r="FA158" s="130"/>
      <c r="FB158" s="130"/>
      <c r="FC158" s="130"/>
      <c r="FD158" s="130"/>
      <c r="FE158" s="130"/>
      <c r="FF158" s="130"/>
      <c r="FG158" s="130"/>
      <c r="FH158" s="130"/>
      <c r="FI158" s="130"/>
      <c r="FJ158" s="130"/>
      <c r="FK158" s="130"/>
      <c r="FL158" s="130"/>
      <c r="FM158" s="130"/>
      <c r="FN158" s="130"/>
      <c r="FO158" s="130"/>
      <c r="FP158" s="130"/>
      <c r="FQ158" s="130"/>
      <c r="FR158" s="130"/>
      <c r="FS158" s="130"/>
      <c r="FT158" s="130"/>
      <c r="FU158" s="130"/>
      <c r="FV158" s="130"/>
      <c r="FW158" s="130"/>
      <c r="FX158" s="130"/>
      <c r="FY158" s="130"/>
      <c r="FZ158" s="130"/>
      <c r="GA158" s="130"/>
      <c r="GB158" s="130"/>
      <c r="GC158" s="130"/>
      <c r="GD158" s="130"/>
      <c r="GE158" s="130"/>
      <c r="GF158" s="130"/>
      <c r="GG158" s="130"/>
      <c r="GH158" s="130"/>
      <c r="GI158" s="130"/>
      <c r="GJ158" s="130"/>
      <c r="GK158" s="130"/>
      <c r="GL158" s="130"/>
      <c r="GM158" s="130"/>
      <c r="GN158" s="130"/>
      <c r="GO158" s="130"/>
      <c r="GP158" s="130"/>
      <c r="GQ158" s="130"/>
      <c r="GR158" s="130"/>
      <c r="GS158" s="130"/>
      <c r="GT158" s="130"/>
      <c r="GU158" s="130"/>
      <c r="GV158" s="130"/>
      <c r="GW158" s="130"/>
      <c r="GX158" s="130"/>
      <c r="GY158" s="130"/>
      <c r="GZ158" s="130"/>
      <c r="HA158" s="130"/>
      <c r="HB158" s="130"/>
      <c r="HC158" s="130"/>
      <c r="HD158" s="130"/>
      <c r="HE158" s="130"/>
      <c r="HF158" s="130"/>
      <c r="HG158" s="130"/>
      <c r="HH158" s="130"/>
      <c r="HI158" s="130"/>
      <c r="HJ158" s="130"/>
      <c r="HK158" s="130"/>
      <c r="HL158" s="130"/>
      <c r="HM158" s="130"/>
      <c r="HN158" s="130"/>
      <c r="HO158" s="130"/>
      <c r="HP158" s="130"/>
      <c r="HQ158" s="130"/>
      <c r="HR158" s="130"/>
      <c r="HS158" s="130"/>
      <c r="HT158" s="130"/>
      <c r="HU158" s="130"/>
      <c r="HV158" s="130"/>
      <c r="HW158" s="130"/>
      <c r="HX158" s="130"/>
      <c r="HY158" s="130"/>
      <c r="HZ158" s="130"/>
      <c r="IA158" s="130"/>
      <c r="IB158" s="130"/>
      <c r="IC158" s="130"/>
      <c r="ID158" s="130"/>
      <c r="IE158" s="130"/>
      <c r="IF158" s="130"/>
      <c r="IG158" s="130"/>
      <c r="IH158" s="130"/>
      <c r="II158" s="130"/>
      <c r="IJ158" s="130"/>
      <c r="IK158" s="130"/>
      <c r="IL158" s="130"/>
      <c r="IM158" s="130"/>
      <c r="IN158" s="130"/>
      <c r="IO158" s="130"/>
      <c r="IP158" s="130"/>
      <c r="IQ158" s="130"/>
      <c r="IR158" s="130"/>
      <c r="IS158" s="130"/>
      <c r="IT158" s="130"/>
      <c r="IU158" s="130"/>
    </row>
    <row r="159" spans="1:255" s="123" customFormat="1" ht="27" customHeight="1">
      <c r="A159" s="216"/>
      <c r="B159" s="223"/>
      <c r="C159" s="217"/>
      <c r="D159" s="217"/>
      <c r="E159" s="218"/>
      <c r="F159" s="218"/>
      <c r="G159" s="220"/>
      <c r="H159" s="220"/>
      <c r="I159" s="220"/>
      <c r="J159" s="220"/>
      <c r="K159" s="124"/>
      <c r="L159" s="214"/>
      <c r="M159" s="215"/>
      <c r="N159" s="215"/>
      <c r="O159" s="215"/>
      <c r="P159" s="215"/>
      <c r="Q159" s="215"/>
      <c r="R159" s="215"/>
      <c r="S159" s="215"/>
      <c r="T159" s="133" t="s">
        <v>399</v>
      </c>
      <c r="U159" s="129"/>
      <c r="V159" s="125"/>
      <c r="W159" s="125" t="str">
        <f>'[1]bang gia'!$C$46</f>
        <v>đồng/cây</v>
      </c>
      <c r="X159" s="120">
        <v>31</v>
      </c>
      <c r="Y159" s="98">
        <v>2500000</v>
      </c>
      <c r="Z159" s="124"/>
      <c r="AA159" s="121">
        <v>0.5</v>
      </c>
      <c r="AB159" s="122">
        <f>X159*Y159*AA159</f>
        <v>38750000</v>
      </c>
      <c r="AC159" s="212"/>
      <c r="AD159" s="212"/>
      <c r="AE159" s="130"/>
      <c r="AF159" s="130"/>
      <c r="AG159" s="130"/>
      <c r="AH159" s="130"/>
      <c r="AI159" s="130"/>
      <c r="AJ159" s="130"/>
      <c r="AK159" s="130"/>
      <c r="AL159" s="130"/>
      <c r="AM159" s="130"/>
      <c r="AN159" s="130"/>
      <c r="AO159" s="130"/>
      <c r="AP159" s="130"/>
      <c r="AQ159" s="130"/>
      <c r="AR159" s="130"/>
      <c r="AS159" s="130"/>
      <c r="AT159" s="130"/>
      <c r="AU159" s="130"/>
      <c r="AV159" s="130"/>
      <c r="AW159" s="130"/>
      <c r="AX159" s="130"/>
      <c r="AY159" s="130"/>
      <c r="AZ159" s="130"/>
      <c r="BA159" s="130"/>
      <c r="BB159" s="130"/>
      <c r="BC159" s="130"/>
      <c r="BD159" s="130"/>
      <c r="BE159" s="130"/>
      <c r="BF159" s="130"/>
      <c r="BG159" s="130"/>
      <c r="BH159" s="130"/>
      <c r="BI159" s="130"/>
      <c r="BJ159" s="130"/>
      <c r="BK159" s="130"/>
      <c r="BL159" s="130"/>
      <c r="BM159" s="130"/>
      <c r="BN159" s="130"/>
      <c r="BO159" s="130"/>
      <c r="BP159" s="130"/>
      <c r="BQ159" s="130"/>
      <c r="BR159" s="130"/>
      <c r="BS159" s="130"/>
      <c r="BT159" s="130"/>
      <c r="BU159" s="130"/>
      <c r="BV159" s="130"/>
      <c r="BW159" s="130"/>
      <c r="BX159" s="130"/>
      <c r="BY159" s="130"/>
      <c r="BZ159" s="130"/>
      <c r="CA159" s="130"/>
      <c r="CB159" s="130"/>
      <c r="CC159" s="130"/>
      <c r="CD159" s="130"/>
      <c r="CE159" s="130"/>
      <c r="CF159" s="130"/>
      <c r="CG159" s="130"/>
      <c r="CH159" s="130"/>
      <c r="CI159" s="130"/>
      <c r="CJ159" s="130"/>
      <c r="CK159" s="130"/>
      <c r="CL159" s="130"/>
      <c r="CM159" s="130"/>
      <c r="CN159" s="130"/>
      <c r="CO159" s="130"/>
      <c r="CP159" s="130"/>
      <c r="CQ159" s="130"/>
      <c r="CR159" s="130"/>
      <c r="CS159" s="130"/>
      <c r="CT159" s="130"/>
      <c r="CU159" s="130"/>
      <c r="CV159" s="130"/>
      <c r="CW159" s="130"/>
      <c r="CX159" s="130"/>
      <c r="CY159" s="130"/>
      <c r="CZ159" s="130"/>
      <c r="DA159" s="130"/>
      <c r="DB159" s="130"/>
      <c r="DC159" s="130"/>
      <c r="DD159" s="130"/>
      <c r="DE159" s="130"/>
      <c r="DF159" s="130"/>
      <c r="DG159" s="130"/>
      <c r="DH159" s="130"/>
      <c r="DI159" s="130"/>
      <c r="DJ159" s="130"/>
      <c r="DK159" s="130"/>
      <c r="DL159" s="130"/>
      <c r="DM159" s="130"/>
      <c r="DN159" s="130"/>
      <c r="DO159" s="130"/>
      <c r="DP159" s="130"/>
      <c r="DQ159" s="130"/>
      <c r="DR159" s="130"/>
      <c r="DS159" s="130"/>
      <c r="DT159" s="130"/>
      <c r="DU159" s="130"/>
      <c r="DV159" s="130"/>
      <c r="DW159" s="130"/>
      <c r="DX159" s="130"/>
      <c r="DY159" s="130"/>
      <c r="DZ159" s="130"/>
      <c r="EA159" s="130"/>
      <c r="EB159" s="130"/>
      <c r="EC159" s="130"/>
      <c r="ED159" s="130"/>
      <c r="EE159" s="130"/>
      <c r="EF159" s="130"/>
      <c r="EG159" s="130"/>
      <c r="EH159" s="130"/>
      <c r="EI159" s="130"/>
      <c r="EJ159" s="130"/>
      <c r="EK159" s="130"/>
      <c r="EL159" s="130"/>
      <c r="EM159" s="130"/>
      <c r="EN159" s="130"/>
      <c r="EO159" s="130"/>
      <c r="EP159" s="130"/>
      <c r="EQ159" s="130"/>
      <c r="ER159" s="130"/>
      <c r="ES159" s="130"/>
      <c r="ET159" s="130"/>
      <c r="EU159" s="130"/>
      <c r="EV159" s="130"/>
      <c r="EW159" s="130"/>
      <c r="EX159" s="130"/>
      <c r="EY159" s="130"/>
      <c r="EZ159" s="130"/>
      <c r="FA159" s="130"/>
      <c r="FB159" s="130"/>
      <c r="FC159" s="130"/>
      <c r="FD159" s="130"/>
      <c r="FE159" s="130"/>
      <c r="FF159" s="130"/>
      <c r="FG159" s="130"/>
      <c r="FH159" s="130"/>
      <c r="FI159" s="130"/>
      <c r="FJ159" s="130"/>
      <c r="FK159" s="130"/>
      <c r="FL159" s="130"/>
      <c r="FM159" s="130"/>
      <c r="FN159" s="130"/>
      <c r="FO159" s="130"/>
      <c r="FP159" s="130"/>
      <c r="FQ159" s="130"/>
      <c r="FR159" s="130"/>
      <c r="FS159" s="130"/>
      <c r="FT159" s="130"/>
      <c r="FU159" s="130"/>
      <c r="FV159" s="130"/>
      <c r="FW159" s="130"/>
      <c r="FX159" s="130"/>
      <c r="FY159" s="130"/>
      <c r="FZ159" s="130"/>
      <c r="GA159" s="130"/>
      <c r="GB159" s="130"/>
      <c r="GC159" s="130"/>
      <c r="GD159" s="130"/>
      <c r="GE159" s="130"/>
      <c r="GF159" s="130"/>
      <c r="GG159" s="130"/>
      <c r="GH159" s="130"/>
      <c r="GI159" s="130"/>
      <c r="GJ159" s="130"/>
      <c r="GK159" s="130"/>
      <c r="GL159" s="130"/>
      <c r="GM159" s="130"/>
      <c r="GN159" s="130"/>
      <c r="GO159" s="130"/>
      <c r="GP159" s="130"/>
      <c r="GQ159" s="130"/>
      <c r="GR159" s="130"/>
      <c r="GS159" s="130"/>
      <c r="GT159" s="130"/>
      <c r="GU159" s="130"/>
      <c r="GV159" s="130"/>
      <c r="GW159" s="130"/>
      <c r="GX159" s="130"/>
      <c r="GY159" s="130"/>
      <c r="GZ159" s="130"/>
      <c r="HA159" s="130"/>
      <c r="HB159" s="130"/>
      <c r="HC159" s="130"/>
      <c r="HD159" s="130"/>
      <c r="HE159" s="130"/>
      <c r="HF159" s="130"/>
      <c r="HG159" s="130"/>
      <c r="HH159" s="130"/>
      <c r="HI159" s="130"/>
      <c r="HJ159" s="130"/>
      <c r="HK159" s="130"/>
      <c r="HL159" s="130"/>
      <c r="HM159" s="130"/>
      <c r="HN159" s="130"/>
      <c r="HO159" s="130"/>
      <c r="HP159" s="130"/>
      <c r="HQ159" s="130"/>
      <c r="HR159" s="130"/>
      <c r="HS159" s="130"/>
      <c r="HT159" s="130"/>
      <c r="HU159" s="130"/>
      <c r="HV159" s="130"/>
      <c r="HW159" s="130"/>
      <c r="HX159" s="130"/>
      <c r="HY159" s="130"/>
      <c r="HZ159" s="130"/>
      <c r="IA159" s="130"/>
      <c r="IB159" s="130"/>
      <c r="IC159" s="130"/>
      <c r="ID159" s="130"/>
      <c r="IE159" s="130"/>
      <c r="IF159" s="130"/>
      <c r="IG159" s="130"/>
      <c r="IH159" s="130"/>
      <c r="II159" s="130"/>
      <c r="IJ159" s="130"/>
      <c r="IK159" s="130"/>
      <c r="IL159" s="130"/>
      <c r="IM159" s="130"/>
      <c r="IN159" s="130"/>
      <c r="IO159" s="130"/>
      <c r="IP159" s="130"/>
      <c r="IQ159" s="130"/>
      <c r="IR159" s="130"/>
      <c r="IS159" s="130"/>
      <c r="IT159" s="130"/>
      <c r="IU159" s="130"/>
    </row>
    <row r="160" spans="1:255" s="123" customFormat="1" ht="38.25" customHeight="1">
      <c r="A160" s="216"/>
      <c r="B160" s="223"/>
      <c r="C160" s="217">
        <v>62</v>
      </c>
      <c r="D160" s="217">
        <v>483</v>
      </c>
      <c r="E160" s="218">
        <v>324</v>
      </c>
      <c r="F160" s="218" t="s">
        <v>26</v>
      </c>
      <c r="G160" s="219">
        <v>324</v>
      </c>
      <c r="H160" s="220">
        <v>0.3</v>
      </c>
      <c r="I160" s="219">
        <v>324</v>
      </c>
      <c r="J160" s="220"/>
      <c r="K160" s="124"/>
      <c r="L160" s="214"/>
      <c r="M160" s="215"/>
      <c r="N160" s="215"/>
      <c r="O160" s="215"/>
      <c r="P160" s="215"/>
      <c r="Q160" s="215"/>
      <c r="R160" s="215"/>
      <c r="S160" s="215"/>
      <c r="T160" s="126" t="s">
        <v>496</v>
      </c>
      <c r="U160" s="112">
        <v>25</v>
      </c>
      <c r="V160" s="127">
        <f>G160/U160</f>
        <v>12.96</v>
      </c>
      <c r="W160" s="125" t="str">
        <f>'[1]bang gia'!$C$46</f>
        <v>đồng/cây</v>
      </c>
      <c r="X160" s="120">
        <v>10</v>
      </c>
      <c r="Y160" s="120"/>
      <c r="Z160" s="124"/>
      <c r="AA160" s="121"/>
      <c r="AB160" s="120"/>
      <c r="AC160" s="212">
        <f>SUM(AB160:AB164)</f>
        <v>65000000</v>
      </c>
      <c r="AD160" s="212"/>
      <c r="AE160" s="226" t="s">
        <v>590</v>
      </c>
    </row>
    <row r="161" spans="1:255" s="123" customFormat="1" ht="28.5" customHeight="1">
      <c r="A161" s="216"/>
      <c r="B161" s="223"/>
      <c r="C161" s="217"/>
      <c r="D161" s="217"/>
      <c r="E161" s="218"/>
      <c r="F161" s="218"/>
      <c r="G161" s="219"/>
      <c r="H161" s="220"/>
      <c r="I161" s="219"/>
      <c r="J161" s="220"/>
      <c r="K161" s="124"/>
      <c r="L161" s="214"/>
      <c r="M161" s="215"/>
      <c r="N161" s="215"/>
      <c r="O161" s="215"/>
      <c r="P161" s="215"/>
      <c r="Q161" s="215"/>
      <c r="R161" s="215"/>
      <c r="S161" s="215"/>
      <c r="T161" s="133" t="s">
        <v>399</v>
      </c>
      <c r="U161" s="112"/>
      <c r="V161" s="125"/>
      <c r="W161" s="125" t="str">
        <f>'[1]bang gia'!$C$46</f>
        <v>đồng/cây</v>
      </c>
      <c r="X161" s="120">
        <v>10</v>
      </c>
      <c r="Y161" s="98">
        <v>4500000</v>
      </c>
      <c r="Z161" s="124"/>
      <c r="AA161" s="121">
        <v>1</v>
      </c>
      <c r="AB161" s="122">
        <f>X161*Y161*AA161</f>
        <v>45000000</v>
      </c>
      <c r="AC161" s="212"/>
      <c r="AD161" s="212"/>
      <c r="AE161" s="227"/>
    </row>
    <row r="162" spans="1:255" s="123" customFormat="1" ht="39" customHeight="1">
      <c r="A162" s="216"/>
      <c r="B162" s="223"/>
      <c r="C162" s="217"/>
      <c r="D162" s="217"/>
      <c r="E162" s="218"/>
      <c r="F162" s="218"/>
      <c r="G162" s="219"/>
      <c r="H162" s="220"/>
      <c r="I162" s="219"/>
      <c r="J162" s="220"/>
      <c r="K162" s="124"/>
      <c r="L162" s="214"/>
      <c r="M162" s="215"/>
      <c r="N162" s="215"/>
      <c r="O162" s="215"/>
      <c r="P162" s="215"/>
      <c r="Q162" s="215"/>
      <c r="R162" s="215"/>
      <c r="S162" s="215"/>
      <c r="T162" s="94" t="s">
        <v>553</v>
      </c>
      <c r="U162" s="112">
        <v>20</v>
      </c>
      <c r="V162" s="127">
        <f>G160/U162</f>
        <v>16.2</v>
      </c>
      <c r="W162" s="125" t="str">
        <f>'[1]bang gia'!$C$51</f>
        <v>đồng/cây</v>
      </c>
      <c r="X162" s="120">
        <v>30</v>
      </c>
      <c r="Y162" s="98"/>
      <c r="Z162" s="124"/>
      <c r="AA162" s="128"/>
      <c r="AB162" s="122"/>
      <c r="AC162" s="212"/>
      <c r="AD162" s="212"/>
    </row>
    <row r="163" spans="1:255" s="123" customFormat="1" ht="28.5" customHeight="1">
      <c r="A163" s="216"/>
      <c r="B163" s="223"/>
      <c r="C163" s="217"/>
      <c r="D163" s="217"/>
      <c r="E163" s="218"/>
      <c r="F163" s="218"/>
      <c r="G163" s="219"/>
      <c r="H163" s="220"/>
      <c r="I163" s="219"/>
      <c r="J163" s="220"/>
      <c r="K163" s="124"/>
      <c r="L163" s="214"/>
      <c r="M163" s="215"/>
      <c r="N163" s="215"/>
      <c r="O163" s="215"/>
      <c r="P163" s="215"/>
      <c r="Q163" s="215"/>
      <c r="R163" s="215"/>
      <c r="S163" s="215"/>
      <c r="T163" s="133" t="s">
        <v>399</v>
      </c>
      <c r="U163" s="112"/>
      <c r="V163" s="125"/>
      <c r="W163" s="125" t="str">
        <f>'[1]bang gia'!$C$51</f>
        <v>đồng/cây</v>
      </c>
      <c r="X163" s="120">
        <v>16</v>
      </c>
      <c r="Y163" s="98">
        <v>2500000</v>
      </c>
      <c r="Z163" s="124"/>
      <c r="AA163" s="128">
        <v>0.5</v>
      </c>
      <c r="AB163" s="122">
        <f>X163*Y163*AA163</f>
        <v>20000000</v>
      </c>
      <c r="AC163" s="212"/>
      <c r="AD163" s="212"/>
    </row>
    <row r="164" spans="1:255" s="123" customFormat="1" ht="28.5" customHeight="1">
      <c r="A164" s="216"/>
      <c r="B164" s="223"/>
      <c r="C164" s="217"/>
      <c r="D164" s="217"/>
      <c r="E164" s="218"/>
      <c r="F164" s="218"/>
      <c r="G164" s="219"/>
      <c r="H164" s="220"/>
      <c r="I164" s="219"/>
      <c r="J164" s="220"/>
      <c r="K164" s="124"/>
      <c r="L164" s="214"/>
      <c r="M164" s="215"/>
      <c r="N164" s="215"/>
      <c r="O164" s="215"/>
      <c r="P164" s="215"/>
      <c r="Q164" s="215"/>
      <c r="R164" s="215"/>
      <c r="S164" s="215"/>
      <c r="T164" s="104" t="s">
        <v>592</v>
      </c>
      <c r="U164" s="112"/>
      <c r="V164" s="125"/>
      <c r="W164" s="125" t="str">
        <f>'[1]bang gia'!$C$51</f>
        <v>đồng/cây</v>
      </c>
      <c r="X164" s="120">
        <f>X162-X163</f>
        <v>14</v>
      </c>
      <c r="Y164" s="98">
        <v>2500000</v>
      </c>
      <c r="Z164" s="124"/>
      <c r="AA164" s="128">
        <v>0</v>
      </c>
      <c r="AB164" s="122">
        <f>X164*Y164*AA164</f>
        <v>0</v>
      </c>
      <c r="AC164" s="212"/>
      <c r="AD164" s="212"/>
    </row>
    <row r="165" spans="1:255" s="123" customFormat="1" ht="40.5" customHeight="1">
      <c r="A165" s="216"/>
      <c r="B165" s="223"/>
      <c r="C165" s="217">
        <v>64</v>
      </c>
      <c r="D165" s="217">
        <v>511</v>
      </c>
      <c r="E165" s="218">
        <v>269</v>
      </c>
      <c r="F165" s="218" t="s">
        <v>26</v>
      </c>
      <c r="G165" s="219">
        <v>270</v>
      </c>
      <c r="H165" s="220">
        <v>0.3</v>
      </c>
      <c r="I165" s="219">
        <v>270</v>
      </c>
      <c r="J165" s="220"/>
      <c r="K165" s="124"/>
      <c r="L165" s="214"/>
      <c r="M165" s="215"/>
      <c r="N165" s="215"/>
      <c r="O165" s="215"/>
      <c r="P165" s="215"/>
      <c r="Q165" s="215"/>
      <c r="R165" s="215"/>
      <c r="S165" s="215"/>
      <c r="T165" s="126" t="s">
        <v>496</v>
      </c>
      <c r="U165" s="112">
        <v>25</v>
      </c>
      <c r="V165" s="127">
        <f>G165/U165</f>
        <v>10.8</v>
      </c>
      <c r="W165" s="125" t="str">
        <f>'[1]bang gia'!$C$46</f>
        <v>đồng/cây</v>
      </c>
      <c r="X165" s="120">
        <v>13</v>
      </c>
      <c r="Y165" s="120"/>
      <c r="Z165" s="124"/>
      <c r="AA165" s="121"/>
      <c r="AB165" s="120"/>
      <c r="AC165" s="212">
        <f>SUM(AB165:AB171)</f>
        <v>54000000</v>
      </c>
      <c r="AD165" s="212"/>
    </row>
    <row r="166" spans="1:255" s="123" customFormat="1" ht="25.5" customHeight="1">
      <c r="A166" s="216"/>
      <c r="B166" s="223"/>
      <c r="C166" s="217"/>
      <c r="D166" s="217"/>
      <c r="E166" s="218"/>
      <c r="F166" s="218"/>
      <c r="G166" s="219"/>
      <c r="H166" s="220"/>
      <c r="I166" s="219"/>
      <c r="J166" s="220"/>
      <c r="K166" s="124"/>
      <c r="L166" s="214"/>
      <c r="M166" s="215"/>
      <c r="N166" s="215"/>
      <c r="O166" s="215"/>
      <c r="P166" s="215"/>
      <c r="Q166" s="215"/>
      <c r="R166" s="215"/>
      <c r="S166" s="215"/>
      <c r="T166" s="133" t="s">
        <v>399</v>
      </c>
      <c r="U166" s="112"/>
      <c r="V166" s="125"/>
      <c r="W166" s="125" t="str">
        <f>'[1]bang gia'!$C$46</f>
        <v>đồng/cây</v>
      </c>
      <c r="X166" s="120">
        <v>11</v>
      </c>
      <c r="Y166" s="98">
        <v>4500000</v>
      </c>
      <c r="Z166" s="124"/>
      <c r="AA166" s="121">
        <v>1</v>
      </c>
      <c r="AB166" s="122">
        <f>X166*Y166*AA166</f>
        <v>49500000</v>
      </c>
      <c r="AC166" s="212"/>
      <c r="AD166" s="212"/>
      <c r="AE166" s="222" t="s">
        <v>497</v>
      </c>
    </row>
    <row r="167" spans="1:255" s="123" customFormat="1" ht="25.5" customHeight="1">
      <c r="A167" s="216"/>
      <c r="B167" s="223"/>
      <c r="C167" s="217"/>
      <c r="D167" s="217"/>
      <c r="E167" s="218"/>
      <c r="F167" s="218"/>
      <c r="G167" s="219"/>
      <c r="H167" s="220"/>
      <c r="I167" s="219"/>
      <c r="J167" s="220"/>
      <c r="K167" s="124"/>
      <c r="L167" s="214"/>
      <c r="M167" s="215"/>
      <c r="N167" s="215"/>
      <c r="O167" s="215"/>
      <c r="P167" s="215"/>
      <c r="Q167" s="215"/>
      <c r="R167" s="215"/>
      <c r="S167" s="215"/>
      <c r="T167" s="104" t="s">
        <v>401</v>
      </c>
      <c r="U167" s="112"/>
      <c r="V167" s="127">
        <f>V165*0.3</f>
        <v>3.24</v>
      </c>
      <c r="W167" s="125" t="str">
        <f>'[1]bang gia'!$C$46</f>
        <v>đồng/cây</v>
      </c>
      <c r="X167" s="120">
        <f>X165-X166</f>
        <v>2</v>
      </c>
      <c r="Y167" s="98">
        <v>4500000</v>
      </c>
      <c r="Z167" s="124"/>
      <c r="AA167" s="121">
        <v>0.5</v>
      </c>
      <c r="AB167" s="122">
        <f>X167*Y167*AA167</f>
        <v>4500000</v>
      </c>
      <c r="AC167" s="212"/>
      <c r="AD167" s="212"/>
      <c r="AE167" s="222"/>
    </row>
    <row r="168" spans="1:255" s="123" customFormat="1" ht="39" customHeight="1">
      <c r="A168" s="216"/>
      <c r="B168" s="223"/>
      <c r="C168" s="217"/>
      <c r="D168" s="217"/>
      <c r="E168" s="218"/>
      <c r="F168" s="218"/>
      <c r="G168" s="219"/>
      <c r="H168" s="220"/>
      <c r="I168" s="219"/>
      <c r="J168" s="220"/>
      <c r="K168" s="124"/>
      <c r="L168" s="214"/>
      <c r="M168" s="215"/>
      <c r="N168" s="215"/>
      <c r="O168" s="215"/>
      <c r="P168" s="215"/>
      <c r="Q168" s="215"/>
      <c r="R168" s="215"/>
      <c r="S168" s="215"/>
      <c r="T168" s="126" t="s">
        <v>593</v>
      </c>
      <c r="U168" s="112"/>
      <c r="V168" s="125"/>
      <c r="W168" s="96" t="s">
        <v>6</v>
      </c>
      <c r="X168" s="120"/>
      <c r="Y168" s="120"/>
      <c r="Z168" s="124"/>
      <c r="AA168" s="121"/>
      <c r="AB168" s="120"/>
      <c r="AC168" s="212"/>
      <c r="AD168" s="212"/>
      <c r="AE168" s="222"/>
    </row>
    <row r="169" spans="1:255" s="123" customFormat="1" ht="23.25" customHeight="1">
      <c r="A169" s="216"/>
      <c r="B169" s="223"/>
      <c r="C169" s="217"/>
      <c r="D169" s="217"/>
      <c r="E169" s="218"/>
      <c r="F169" s="218"/>
      <c r="G169" s="219"/>
      <c r="H169" s="220"/>
      <c r="I169" s="219"/>
      <c r="J169" s="220"/>
      <c r="K169" s="124"/>
      <c r="L169" s="214"/>
      <c r="M169" s="215"/>
      <c r="N169" s="215"/>
      <c r="O169" s="215"/>
      <c r="P169" s="215"/>
      <c r="Q169" s="215"/>
      <c r="R169" s="215"/>
      <c r="S169" s="215"/>
      <c r="T169" s="126" t="s">
        <v>594</v>
      </c>
      <c r="U169" s="112"/>
      <c r="V169" s="125"/>
      <c r="W169" s="125" t="s">
        <v>501</v>
      </c>
      <c r="X169" s="134">
        <v>0.3</v>
      </c>
      <c r="Y169" s="120"/>
      <c r="Z169" s="124"/>
      <c r="AA169" s="121"/>
      <c r="AB169" s="120"/>
      <c r="AC169" s="212"/>
      <c r="AD169" s="212"/>
    </row>
    <row r="170" spans="1:255" s="123" customFormat="1" ht="31.15" customHeight="1">
      <c r="A170" s="216"/>
      <c r="B170" s="223"/>
      <c r="C170" s="217"/>
      <c r="D170" s="217"/>
      <c r="E170" s="218"/>
      <c r="F170" s="218"/>
      <c r="G170" s="219"/>
      <c r="H170" s="220"/>
      <c r="I170" s="219"/>
      <c r="J170" s="220"/>
      <c r="K170" s="124"/>
      <c r="L170" s="214"/>
      <c r="M170" s="215"/>
      <c r="N170" s="215"/>
      <c r="O170" s="215"/>
      <c r="P170" s="215"/>
      <c r="Q170" s="215"/>
      <c r="R170" s="215"/>
      <c r="S170" s="215"/>
      <c r="T170" s="140" t="s">
        <v>595</v>
      </c>
      <c r="U170" s="96"/>
      <c r="V170" s="125"/>
      <c r="W170" s="96" t="s">
        <v>6</v>
      </c>
      <c r="X170" s="120"/>
      <c r="Y170" s="120"/>
      <c r="Z170" s="124"/>
      <c r="AA170" s="121"/>
      <c r="AB170" s="120"/>
      <c r="AC170" s="212"/>
      <c r="AD170" s="212"/>
    </row>
    <row r="171" spans="1:255" s="123" customFormat="1" ht="28.9" customHeight="1">
      <c r="A171" s="216"/>
      <c r="B171" s="223"/>
      <c r="C171" s="217"/>
      <c r="D171" s="217"/>
      <c r="E171" s="218"/>
      <c r="F171" s="218"/>
      <c r="G171" s="219"/>
      <c r="H171" s="220"/>
      <c r="I171" s="219"/>
      <c r="J171" s="220"/>
      <c r="K171" s="124"/>
      <c r="L171" s="214"/>
      <c r="M171" s="215"/>
      <c r="N171" s="215"/>
      <c r="O171" s="215"/>
      <c r="P171" s="215"/>
      <c r="Q171" s="215"/>
      <c r="R171" s="215"/>
      <c r="S171" s="215"/>
      <c r="T171" s="126" t="s">
        <v>403</v>
      </c>
      <c r="U171" s="112"/>
      <c r="V171" s="112"/>
      <c r="W171" s="112" t="s">
        <v>395</v>
      </c>
      <c r="X171" s="122">
        <v>1</v>
      </c>
      <c r="Y171" s="120"/>
      <c r="Z171" s="124"/>
      <c r="AA171" s="121"/>
      <c r="AB171" s="120"/>
      <c r="AC171" s="212"/>
      <c r="AD171" s="212"/>
    </row>
    <row r="172" spans="1:255" s="123" customFormat="1" ht="36.75" customHeight="1">
      <c r="A172" s="124">
        <v>11</v>
      </c>
      <c r="B172" s="135" t="s">
        <v>596</v>
      </c>
      <c r="C172" s="217">
        <v>62</v>
      </c>
      <c r="D172" s="217">
        <v>485</v>
      </c>
      <c r="E172" s="218">
        <v>648.29999999999995</v>
      </c>
      <c r="F172" s="218" t="s">
        <v>26</v>
      </c>
      <c r="G172" s="136">
        <v>324</v>
      </c>
      <c r="H172" s="220">
        <f>E172-G172-G173</f>
        <v>0.29999999999995453</v>
      </c>
      <c r="I172" s="136">
        <v>324</v>
      </c>
      <c r="J172" s="127">
        <v>324</v>
      </c>
      <c r="K172" s="33"/>
      <c r="L172" s="137">
        <f>I172/J172*100</f>
        <v>100</v>
      </c>
      <c r="M172" s="120">
        <f>IF(L172&lt;10,2,IF(L172&lt;20,3,IF(L172&lt;30,5,IF(L172&gt;=70,12,IF(L172&gt;=30,6)))))</f>
        <v>12</v>
      </c>
      <c r="N172" s="120">
        <v>2</v>
      </c>
      <c r="O172" s="120">
        <v>80000</v>
      </c>
      <c r="P172" s="120">
        <f>I172*O172</f>
        <v>25920000</v>
      </c>
      <c r="Q172" s="120">
        <f>P172*3</f>
        <v>77760000</v>
      </c>
      <c r="R172" s="120">
        <f>M172*N172*R6</f>
        <v>12240000</v>
      </c>
      <c r="S172" s="120">
        <f>R172+Q172+P172</f>
        <v>115920000</v>
      </c>
      <c r="T172" s="95" t="s">
        <v>406</v>
      </c>
      <c r="U172" s="44"/>
      <c r="V172" s="36"/>
      <c r="W172" s="129" t="s">
        <v>0</v>
      </c>
      <c r="X172" s="98">
        <v>324</v>
      </c>
      <c r="Y172" s="98">
        <v>180000</v>
      </c>
      <c r="Z172" s="33"/>
      <c r="AA172" s="121">
        <v>1</v>
      </c>
      <c r="AB172" s="122">
        <f t="shared" ref="AB172:AB178" si="7">X172*Y172*AA172</f>
        <v>58320000</v>
      </c>
      <c r="AC172" s="138">
        <f>AB172</f>
        <v>58320000</v>
      </c>
      <c r="AD172" s="138">
        <f>AC172+S172</f>
        <v>174240000</v>
      </c>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130"/>
      <c r="BF172" s="130"/>
      <c r="BG172" s="130"/>
      <c r="BH172" s="130"/>
      <c r="BI172" s="130"/>
      <c r="BJ172" s="130"/>
      <c r="BK172" s="130"/>
      <c r="BL172" s="130"/>
      <c r="BM172" s="130"/>
      <c r="BN172" s="130"/>
      <c r="BO172" s="130"/>
      <c r="BP172" s="130"/>
      <c r="BQ172" s="130"/>
      <c r="BR172" s="130"/>
      <c r="BS172" s="130"/>
      <c r="BT172" s="130"/>
      <c r="BU172" s="130"/>
      <c r="BV172" s="130"/>
      <c r="BW172" s="130"/>
      <c r="BX172" s="130"/>
      <c r="BY172" s="130"/>
      <c r="BZ172" s="130"/>
      <c r="CA172" s="130"/>
      <c r="CB172" s="130"/>
      <c r="CC172" s="130"/>
      <c r="CD172" s="130"/>
      <c r="CE172" s="130"/>
      <c r="CF172" s="130"/>
      <c r="CG172" s="130"/>
      <c r="CH172" s="130"/>
      <c r="CI172" s="130"/>
      <c r="CJ172" s="130"/>
      <c r="CK172" s="130"/>
      <c r="CL172" s="130"/>
      <c r="CM172" s="130"/>
      <c r="CN172" s="130"/>
      <c r="CO172" s="130"/>
      <c r="CP172" s="130"/>
      <c r="CQ172" s="130"/>
      <c r="CR172" s="130"/>
      <c r="CS172" s="130"/>
      <c r="CT172" s="130"/>
      <c r="CU172" s="130"/>
      <c r="CV172" s="130"/>
      <c r="CW172" s="130"/>
      <c r="CX172" s="130"/>
      <c r="CY172" s="130"/>
      <c r="CZ172" s="130"/>
      <c r="DA172" s="130"/>
      <c r="DB172" s="130"/>
      <c r="DC172" s="130"/>
      <c r="DD172" s="130"/>
      <c r="DE172" s="130"/>
      <c r="DF172" s="130"/>
      <c r="DG172" s="130"/>
      <c r="DH172" s="130"/>
      <c r="DI172" s="130"/>
      <c r="DJ172" s="130"/>
      <c r="DK172" s="130"/>
      <c r="DL172" s="130"/>
      <c r="DM172" s="130"/>
      <c r="DN172" s="130"/>
      <c r="DO172" s="130"/>
      <c r="DP172" s="130"/>
      <c r="DQ172" s="130"/>
      <c r="DR172" s="130"/>
      <c r="DS172" s="130"/>
      <c r="DT172" s="130"/>
      <c r="DU172" s="130"/>
      <c r="DV172" s="130"/>
      <c r="DW172" s="130"/>
      <c r="DX172" s="130"/>
      <c r="DY172" s="130"/>
      <c r="DZ172" s="130"/>
      <c r="EA172" s="130"/>
      <c r="EB172" s="130"/>
      <c r="EC172" s="130"/>
      <c r="ED172" s="130"/>
      <c r="EE172" s="130"/>
      <c r="EF172" s="130"/>
      <c r="EG172" s="130"/>
      <c r="EH172" s="130"/>
      <c r="EI172" s="130"/>
      <c r="EJ172" s="130"/>
      <c r="EK172" s="130"/>
      <c r="EL172" s="130"/>
      <c r="EM172" s="130"/>
      <c r="EN172" s="130"/>
      <c r="EO172" s="130"/>
      <c r="EP172" s="130"/>
      <c r="EQ172" s="130"/>
      <c r="ER172" s="130"/>
      <c r="ES172" s="130"/>
      <c r="ET172" s="130"/>
      <c r="EU172" s="130"/>
      <c r="EV172" s="130"/>
      <c r="EW172" s="130"/>
      <c r="EX172" s="130"/>
      <c r="EY172" s="130"/>
      <c r="EZ172" s="130"/>
      <c r="FA172" s="130"/>
      <c r="FB172" s="130"/>
      <c r="FC172" s="130"/>
      <c r="FD172" s="130"/>
      <c r="FE172" s="130"/>
      <c r="FF172" s="130"/>
      <c r="FG172" s="130"/>
      <c r="FH172" s="130"/>
      <c r="FI172" s="130"/>
      <c r="FJ172" s="130"/>
      <c r="FK172" s="130"/>
      <c r="FL172" s="130"/>
      <c r="FM172" s="130"/>
      <c r="FN172" s="130"/>
      <c r="FO172" s="130"/>
      <c r="FP172" s="130"/>
      <c r="FQ172" s="130"/>
      <c r="FR172" s="130"/>
      <c r="FS172" s="130"/>
      <c r="FT172" s="130"/>
      <c r="FU172" s="130"/>
      <c r="FV172" s="130"/>
      <c r="FW172" s="130"/>
      <c r="FX172" s="130"/>
      <c r="FY172" s="130"/>
      <c r="FZ172" s="130"/>
      <c r="GA172" s="130"/>
      <c r="GB172" s="130"/>
      <c r="GC172" s="130"/>
      <c r="GD172" s="130"/>
      <c r="GE172" s="130"/>
      <c r="GF172" s="130"/>
      <c r="GG172" s="130"/>
      <c r="GH172" s="130"/>
      <c r="GI172" s="130"/>
      <c r="GJ172" s="130"/>
      <c r="GK172" s="130"/>
      <c r="GL172" s="130"/>
      <c r="GM172" s="130"/>
      <c r="GN172" s="130"/>
      <c r="GO172" s="130"/>
      <c r="GP172" s="130"/>
      <c r="GQ172" s="130"/>
      <c r="GR172" s="130"/>
      <c r="GS172" s="130"/>
      <c r="GT172" s="130"/>
      <c r="GU172" s="130"/>
      <c r="GV172" s="130"/>
      <c r="GW172" s="130"/>
      <c r="GX172" s="130"/>
      <c r="GY172" s="130"/>
      <c r="GZ172" s="130"/>
      <c r="HA172" s="130"/>
      <c r="HB172" s="130"/>
      <c r="HC172" s="130"/>
      <c r="HD172" s="130"/>
      <c r="HE172" s="130"/>
      <c r="HF172" s="130"/>
      <c r="HG172" s="130"/>
      <c r="HH172" s="130"/>
      <c r="HI172" s="130"/>
      <c r="HJ172" s="130"/>
      <c r="HK172" s="130"/>
      <c r="HL172" s="130"/>
      <c r="HM172" s="130"/>
      <c r="HN172" s="130"/>
      <c r="HO172" s="130"/>
      <c r="HP172" s="130"/>
      <c r="HQ172" s="130"/>
      <c r="HR172" s="130"/>
      <c r="HS172" s="130"/>
      <c r="HT172" s="130"/>
      <c r="HU172" s="130"/>
      <c r="HV172" s="130"/>
      <c r="HW172" s="130"/>
      <c r="HX172" s="130"/>
      <c r="HY172" s="130"/>
      <c r="HZ172" s="130"/>
      <c r="IA172" s="130"/>
      <c r="IB172" s="130"/>
      <c r="IC172" s="130"/>
      <c r="ID172" s="130"/>
      <c r="IE172" s="130"/>
      <c r="IF172" s="130"/>
      <c r="IG172" s="130"/>
      <c r="IH172" s="130"/>
      <c r="II172" s="130"/>
      <c r="IJ172" s="130"/>
      <c r="IK172" s="130"/>
      <c r="IL172" s="130"/>
      <c r="IM172" s="130"/>
      <c r="IN172" s="130"/>
      <c r="IO172" s="130"/>
      <c r="IP172" s="130"/>
      <c r="IQ172" s="130"/>
      <c r="IR172" s="130"/>
      <c r="IS172" s="130"/>
      <c r="IT172" s="130"/>
      <c r="IU172" s="130"/>
    </row>
    <row r="173" spans="1:255" s="123" customFormat="1" ht="35.25" customHeight="1">
      <c r="A173" s="124">
        <v>12</v>
      </c>
      <c r="B173" s="139" t="s">
        <v>658</v>
      </c>
      <c r="C173" s="267"/>
      <c r="D173" s="267"/>
      <c r="E173" s="268"/>
      <c r="F173" s="268"/>
      <c r="G173" s="136">
        <v>324</v>
      </c>
      <c r="H173" s="232"/>
      <c r="I173" s="136">
        <v>324</v>
      </c>
      <c r="J173" s="127">
        <v>324</v>
      </c>
      <c r="K173" s="124"/>
      <c r="L173" s="137">
        <f>I173/J173*100</f>
        <v>100</v>
      </c>
      <c r="M173" s="120">
        <f>IF(L173&lt;10,2,IF(L173&lt;20,3,IF(L173&lt;30,5,IF(L173&gt;=70,12,IF(L173&gt;=30,6)))))</f>
        <v>12</v>
      </c>
      <c r="N173" s="120">
        <v>2</v>
      </c>
      <c r="O173" s="120">
        <v>80000</v>
      </c>
      <c r="P173" s="120">
        <f>I173*O173</f>
        <v>25920000</v>
      </c>
      <c r="Q173" s="120">
        <f>P173*3</f>
        <v>77760000</v>
      </c>
      <c r="R173" s="120">
        <f>M173*N173*R6</f>
        <v>12240000</v>
      </c>
      <c r="S173" s="120">
        <f>R173+Q173+P173</f>
        <v>115920000</v>
      </c>
      <c r="T173" s="95" t="s">
        <v>406</v>
      </c>
      <c r="U173" s="129"/>
      <c r="V173" s="125"/>
      <c r="W173" s="129" t="s">
        <v>0</v>
      </c>
      <c r="X173" s="98">
        <v>324</v>
      </c>
      <c r="Y173" s="98">
        <v>180000</v>
      </c>
      <c r="Z173" s="124"/>
      <c r="AA173" s="121">
        <v>1</v>
      </c>
      <c r="AB173" s="122">
        <f t="shared" si="7"/>
        <v>58320000</v>
      </c>
      <c r="AC173" s="138">
        <f>AB173</f>
        <v>58320000</v>
      </c>
      <c r="AD173" s="138">
        <f>AC173+S173</f>
        <v>174240000</v>
      </c>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c r="AZ173" s="130"/>
      <c r="BA173" s="130"/>
      <c r="BB173" s="130"/>
      <c r="BC173" s="130"/>
      <c r="BD173" s="130"/>
      <c r="BE173" s="130"/>
      <c r="BF173" s="130"/>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c r="CL173" s="130"/>
      <c r="CM173" s="130"/>
      <c r="CN173" s="130"/>
      <c r="CO173" s="130"/>
      <c r="CP173" s="130"/>
      <c r="CQ173" s="130"/>
      <c r="CR173" s="130"/>
      <c r="CS173" s="130"/>
      <c r="CT173" s="130"/>
      <c r="CU173" s="130"/>
      <c r="CV173" s="130"/>
      <c r="CW173" s="130"/>
      <c r="CX173" s="130"/>
      <c r="CY173" s="130"/>
      <c r="CZ173" s="130"/>
      <c r="DA173" s="130"/>
      <c r="DB173" s="130"/>
      <c r="DC173" s="130"/>
      <c r="DD173" s="130"/>
      <c r="DE173" s="130"/>
      <c r="DF173" s="130"/>
      <c r="DG173" s="130"/>
      <c r="DH173" s="130"/>
      <c r="DI173" s="130"/>
      <c r="DJ173" s="130"/>
      <c r="DK173" s="130"/>
      <c r="DL173" s="130"/>
      <c r="DM173" s="130"/>
      <c r="DN173" s="130"/>
      <c r="DO173" s="130"/>
      <c r="DP173" s="130"/>
      <c r="DQ173" s="130"/>
      <c r="DR173" s="130"/>
      <c r="DS173" s="130"/>
      <c r="DT173" s="130"/>
      <c r="DU173" s="130"/>
      <c r="DV173" s="130"/>
      <c r="DW173" s="130"/>
      <c r="DX173" s="130"/>
      <c r="DY173" s="130"/>
      <c r="DZ173" s="130"/>
      <c r="EA173" s="130"/>
      <c r="EB173" s="130"/>
      <c r="EC173" s="130"/>
      <c r="ED173" s="130"/>
      <c r="EE173" s="130"/>
      <c r="EF173" s="130"/>
      <c r="EG173" s="130"/>
      <c r="EH173" s="130"/>
      <c r="EI173" s="130"/>
      <c r="EJ173" s="130"/>
      <c r="EK173" s="130"/>
      <c r="EL173" s="130"/>
      <c r="EM173" s="130"/>
      <c r="EN173" s="130"/>
      <c r="EO173" s="130"/>
      <c r="EP173" s="130"/>
      <c r="EQ173" s="130"/>
      <c r="ER173" s="130"/>
      <c r="ES173" s="130"/>
      <c r="ET173" s="130"/>
      <c r="EU173" s="130"/>
      <c r="EV173" s="130"/>
      <c r="EW173" s="130"/>
      <c r="EX173" s="130"/>
      <c r="EY173" s="130"/>
      <c r="EZ173" s="130"/>
      <c r="FA173" s="130"/>
      <c r="FB173" s="130"/>
      <c r="FC173" s="130"/>
      <c r="FD173" s="130"/>
      <c r="FE173" s="130"/>
      <c r="FF173" s="130"/>
      <c r="FG173" s="130"/>
      <c r="FH173" s="130"/>
      <c r="FI173" s="130"/>
      <c r="FJ173" s="130"/>
      <c r="FK173" s="130"/>
      <c r="FL173" s="130"/>
      <c r="FM173" s="130"/>
      <c r="FN173" s="130"/>
      <c r="FO173" s="130"/>
      <c r="FP173" s="130"/>
      <c r="FQ173" s="130"/>
      <c r="FR173" s="130"/>
      <c r="FS173" s="130"/>
      <c r="FT173" s="130"/>
      <c r="FU173" s="130"/>
      <c r="FV173" s="130"/>
      <c r="FW173" s="130"/>
      <c r="FX173" s="130"/>
      <c r="FY173" s="130"/>
      <c r="FZ173" s="130"/>
      <c r="GA173" s="130"/>
      <c r="GB173" s="130"/>
      <c r="GC173" s="130"/>
      <c r="GD173" s="130"/>
      <c r="GE173" s="130"/>
      <c r="GF173" s="130"/>
      <c r="GG173" s="130"/>
      <c r="GH173" s="130"/>
      <c r="GI173" s="130"/>
      <c r="GJ173" s="130"/>
      <c r="GK173" s="130"/>
      <c r="GL173" s="130"/>
      <c r="GM173" s="130"/>
      <c r="GN173" s="130"/>
      <c r="GO173" s="130"/>
      <c r="GP173" s="130"/>
      <c r="GQ173" s="130"/>
      <c r="GR173" s="130"/>
      <c r="GS173" s="130"/>
      <c r="GT173" s="130"/>
      <c r="GU173" s="130"/>
      <c r="GV173" s="130"/>
      <c r="GW173" s="130"/>
      <c r="GX173" s="130"/>
      <c r="GY173" s="130"/>
      <c r="GZ173" s="130"/>
      <c r="HA173" s="130"/>
      <c r="HB173" s="130"/>
      <c r="HC173" s="130"/>
      <c r="HD173" s="130"/>
      <c r="HE173" s="130"/>
      <c r="HF173" s="130"/>
      <c r="HG173" s="130"/>
      <c r="HH173" s="130"/>
      <c r="HI173" s="130"/>
      <c r="HJ173" s="130"/>
      <c r="HK173" s="130"/>
      <c r="HL173" s="130"/>
      <c r="HM173" s="130"/>
      <c r="HN173" s="130"/>
      <c r="HO173" s="130"/>
      <c r="HP173" s="130"/>
      <c r="HQ173" s="130"/>
      <c r="HR173" s="130"/>
      <c r="HS173" s="130"/>
      <c r="HT173" s="130"/>
      <c r="HU173" s="130"/>
      <c r="HV173" s="130"/>
      <c r="HW173" s="130"/>
      <c r="HX173" s="130"/>
      <c r="HY173" s="130"/>
      <c r="HZ173" s="130"/>
      <c r="IA173" s="130"/>
      <c r="IB173" s="130"/>
      <c r="IC173" s="130"/>
      <c r="ID173" s="130"/>
      <c r="IE173" s="130"/>
      <c r="IF173" s="130"/>
      <c r="IG173" s="130"/>
      <c r="IH173" s="130"/>
      <c r="II173" s="130"/>
      <c r="IJ173" s="130"/>
      <c r="IK173" s="130"/>
      <c r="IL173" s="130"/>
      <c r="IM173" s="130"/>
      <c r="IN173" s="130"/>
      <c r="IO173" s="130"/>
      <c r="IP173" s="130"/>
      <c r="IQ173" s="130"/>
      <c r="IR173" s="130"/>
      <c r="IS173" s="130"/>
      <c r="IT173" s="130"/>
      <c r="IU173" s="130"/>
    </row>
    <row r="174" spans="1:255" s="123" customFormat="1" ht="38.25" customHeight="1">
      <c r="A174" s="124">
        <v>13</v>
      </c>
      <c r="B174" s="135" t="s">
        <v>597</v>
      </c>
      <c r="C174" s="143">
        <v>62</v>
      </c>
      <c r="D174" s="143">
        <v>481</v>
      </c>
      <c r="E174" s="136">
        <v>323.89999999999998</v>
      </c>
      <c r="F174" s="136" t="s">
        <v>26</v>
      </c>
      <c r="G174" s="127">
        <v>324</v>
      </c>
      <c r="H174" s="127">
        <f>E174-G174</f>
        <v>-0.10000000000002274</v>
      </c>
      <c r="I174" s="127">
        <v>324</v>
      </c>
      <c r="J174" s="127">
        <v>324</v>
      </c>
      <c r="K174" s="124"/>
      <c r="L174" s="137">
        <f>I174/J174*100</f>
        <v>100</v>
      </c>
      <c r="M174" s="120">
        <f>IF(L174&lt;10,2,IF(L174&lt;20,3,IF(L174&lt;30,5,IF(L174&gt;=70,12,IF(L174&gt;=30,6)))))</f>
        <v>12</v>
      </c>
      <c r="N174" s="120">
        <v>4</v>
      </c>
      <c r="O174" s="120">
        <v>80000</v>
      </c>
      <c r="P174" s="120">
        <f>I174*O174</f>
        <v>25920000</v>
      </c>
      <c r="Q174" s="120">
        <f>P174*3</f>
        <v>77760000</v>
      </c>
      <c r="R174" s="120">
        <f>M174*N174*R6</f>
        <v>24480000</v>
      </c>
      <c r="S174" s="120">
        <f>R174+Q174+P174</f>
        <v>128160000</v>
      </c>
      <c r="T174" s="95" t="s">
        <v>406</v>
      </c>
      <c r="U174" s="129"/>
      <c r="V174" s="112"/>
      <c r="W174" s="129" t="s">
        <v>0</v>
      </c>
      <c r="X174" s="144">
        <f>G174</f>
        <v>324</v>
      </c>
      <c r="Y174" s="98">
        <v>180000</v>
      </c>
      <c r="Z174" s="124"/>
      <c r="AA174" s="121">
        <v>1</v>
      </c>
      <c r="AB174" s="122">
        <f t="shared" si="7"/>
        <v>58320000</v>
      </c>
      <c r="AC174" s="138">
        <f>AB174</f>
        <v>58320000</v>
      </c>
      <c r="AD174" s="138">
        <f>AC174+S174</f>
        <v>186480000</v>
      </c>
      <c r="AE174" s="130"/>
      <c r="AF174" s="130"/>
      <c r="AG174" s="130"/>
      <c r="AH174" s="130"/>
      <c r="AI174" s="130"/>
      <c r="AJ174" s="130"/>
      <c r="AK174" s="130"/>
      <c r="AL174" s="130"/>
      <c r="AM174" s="130"/>
      <c r="AN174" s="130"/>
      <c r="AO174" s="130"/>
      <c r="AP174" s="130"/>
      <c r="AQ174" s="130"/>
      <c r="AR174" s="130"/>
      <c r="AS174" s="130"/>
      <c r="AT174" s="130"/>
      <c r="AU174" s="130"/>
      <c r="AV174" s="130"/>
      <c r="AW174" s="130"/>
      <c r="AX174" s="130"/>
      <c r="AY174" s="130"/>
      <c r="AZ174" s="130"/>
      <c r="BA174" s="130"/>
      <c r="BB174" s="130"/>
      <c r="BC174" s="130"/>
      <c r="BD174" s="130"/>
      <c r="BE174" s="130"/>
      <c r="BF174" s="130"/>
      <c r="BG174" s="130"/>
      <c r="BH174" s="130"/>
      <c r="BI174" s="130"/>
      <c r="BJ174" s="130"/>
      <c r="BK174" s="130"/>
      <c r="BL174" s="130"/>
      <c r="BM174" s="130"/>
      <c r="BN174" s="130"/>
      <c r="BO174" s="130"/>
      <c r="BP174" s="130"/>
      <c r="BQ174" s="130"/>
      <c r="BR174" s="130"/>
      <c r="BS174" s="130"/>
      <c r="BT174" s="130"/>
      <c r="BU174" s="130"/>
      <c r="BV174" s="130"/>
      <c r="BW174" s="130"/>
      <c r="BX174" s="130"/>
      <c r="BY174" s="130"/>
      <c r="BZ174" s="130"/>
      <c r="CA174" s="130"/>
      <c r="CB174" s="130"/>
      <c r="CC174" s="130"/>
      <c r="CD174" s="130"/>
      <c r="CE174" s="130"/>
      <c r="CF174" s="130"/>
      <c r="CG174" s="130"/>
      <c r="CH174" s="130"/>
      <c r="CI174" s="130"/>
      <c r="CJ174" s="130"/>
      <c r="CK174" s="130"/>
      <c r="CL174" s="130"/>
      <c r="CM174" s="130"/>
      <c r="CN174" s="130"/>
      <c r="CO174" s="130"/>
      <c r="CP174" s="130"/>
      <c r="CQ174" s="130"/>
      <c r="CR174" s="130"/>
      <c r="CS174" s="130"/>
      <c r="CT174" s="130"/>
      <c r="CU174" s="130"/>
      <c r="CV174" s="130"/>
      <c r="CW174" s="130"/>
      <c r="CX174" s="130"/>
      <c r="CY174" s="130"/>
      <c r="CZ174" s="130"/>
      <c r="DA174" s="130"/>
      <c r="DB174" s="130"/>
      <c r="DC174" s="130"/>
      <c r="DD174" s="130"/>
      <c r="DE174" s="130"/>
      <c r="DF174" s="130"/>
      <c r="DG174" s="130"/>
      <c r="DH174" s="130"/>
      <c r="DI174" s="130"/>
      <c r="DJ174" s="130"/>
      <c r="DK174" s="130"/>
      <c r="DL174" s="130"/>
      <c r="DM174" s="130"/>
      <c r="DN174" s="130"/>
      <c r="DO174" s="130"/>
      <c r="DP174" s="130"/>
      <c r="DQ174" s="130"/>
      <c r="DR174" s="130"/>
      <c r="DS174" s="130"/>
      <c r="DT174" s="130"/>
      <c r="DU174" s="130"/>
      <c r="DV174" s="130"/>
      <c r="DW174" s="130"/>
      <c r="DX174" s="130"/>
      <c r="DY174" s="130"/>
      <c r="DZ174" s="130"/>
      <c r="EA174" s="130"/>
      <c r="EB174" s="130"/>
      <c r="EC174" s="130"/>
      <c r="ED174" s="130"/>
      <c r="EE174" s="130"/>
      <c r="EF174" s="130"/>
      <c r="EG174" s="130"/>
      <c r="EH174" s="130"/>
      <c r="EI174" s="130"/>
      <c r="EJ174" s="130"/>
      <c r="EK174" s="130"/>
      <c r="EL174" s="130"/>
      <c r="EM174" s="130"/>
      <c r="EN174" s="130"/>
      <c r="EO174" s="130"/>
      <c r="EP174" s="130"/>
      <c r="EQ174" s="130"/>
      <c r="ER174" s="130"/>
      <c r="ES174" s="130"/>
      <c r="ET174" s="130"/>
      <c r="EU174" s="130"/>
      <c r="EV174" s="130"/>
      <c r="EW174" s="130"/>
      <c r="EX174" s="130"/>
      <c r="EY174" s="130"/>
      <c r="EZ174" s="130"/>
      <c r="FA174" s="130"/>
      <c r="FB174" s="130"/>
      <c r="FC174" s="130"/>
      <c r="FD174" s="130"/>
      <c r="FE174" s="130"/>
      <c r="FF174" s="130"/>
      <c r="FG174" s="130"/>
      <c r="FH174" s="130"/>
      <c r="FI174" s="130"/>
      <c r="FJ174" s="130"/>
      <c r="FK174" s="130"/>
      <c r="FL174" s="130"/>
      <c r="FM174" s="130"/>
      <c r="FN174" s="130"/>
      <c r="FO174" s="130"/>
      <c r="FP174" s="130"/>
      <c r="FQ174" s="130"/>
      <c r="FR174" s="130"/>
      <c r="FS174" s="130"/>
      <c r="FT174" s="130"/>
      <c r="FU174" s="130"/>
      <c r="FV174" s="130"/>
      <c r="FW174" s="130"/>
      <c r="FX174" s="130"/>
      <c r="FY174" s="130"/>
      <c r="FZ174" s="130"/>
      <c r="GA174" s="130"/>
      <c r="GB174" s="130"/>
      <c r="GC174" s="130"/>
      <c r="GD174" s="130"/>
      <c r="GE174" s="130"/>
      <c r="GF174" s="130"/>
      <c r="GG174" s="130"/>
      <c r="GH174" s="130"/>
      <c r="GI174" s="130"/>
      <c r="GJ174" s="130"/>
      <c r="GK174" s="130"/>
      <c r="GL174" s="130"/>
      <c r="GM174" s="130"/>
      <c r="GN174" s="130"/>
      <c r="GO174" s="130"/>
      <c r="GP174" s="130"/>
      <c r="GQ174" s="130"/>
      <c r="GR174" s="130"/>
      <c r="GS174" s="130"/>
      <c r="GT174" s="130"/>
      <c r="GU174" s="130"/>
      <c r="GV174" s="130"/>
      <c r="GW174" s="130"/>
      <c r="GX174" s="130"/>
      <c r="GY174" s="130"/>
      <c r="GZ174" s="130"/>
      <c r="HA174" s="130"/>
      <c r="HB174" s="130"/>
      <c r="HC174" s="130"/>
      <c r="HD174" s="130"/>
      <c r="HE174" s="130"/>
      <c r="HF174" s="130"/>
      <c r="HG174" s="130"/>
      <c r="HH174" s="130"/>
      <c r="HI174" s="130"/>
      <c r="HJ174" s="130"/>
      <c r="HK174" s="130"/>
      <c r="HL174" s="130"/>
      <c r="HM174" s="130"/>
      <c r="HN174" s="130"/>
      <c r="HO174" s="130"/>
      <c r="HP174" s="130"/>
      <c r="HQ174" s="130"/>
      <c r="HR174" s="130"/>
      <c r="HS174" s="130"/>
      <c r="HT174" s="130"/>
      <c r="HU174" s="130"/>
      <c r="HV174" s="130"/>
      <c r="HW174" s="130"/>
      <c r="HX174" s="130"/>
      <c r="HY174" s="130"/>
      <c r="HZ174" s="130"/>
      <c r="IA174" s="130"/>
      <c r="IB174" s="130"/>
      <c r="IC174" s="130"/>
      <c r="ID174" s="130"/>
      <c r="IE174" s="130"/>
      <c r="IF174" s="130"/>
      <c r="IG174" s="130"/>
      <c r="IH174" s="130"/>
      <c r="II174" s="130"/>
      <c r="IJ174" s="130"/>
      <c r="IK174" s="130"/>
      <c r="IL174" s="130"/>
      <c r="IM174" s="130"/>
      <c r="IN174" s="130"/>
      <c r="IO174" s="130"/>
      <c r="IP174" s="130"/>
      <c r="IQ174" s="130"/>
      <c r="IR174" s="130"/>
      <c r="IS174" s="130"/>
      <c r="IT174" s="130"/>
      <c r="IU174" s="130"/>
    </row>
    <row r="175" spans="1:255" s="123" customFormat="1" ht="39" customHeight="1">
      <c r="A175" s="216">
        <v>14</v>
      </c>
      <c r="B175" s="221" t="s">
        <v>598</v>
      </c>
      <c r="C175" s="217">
        <v>62</v>
      </c>
      <c r="D175" s="217">
        <v>482</v>
      </c>
      <c r="E175" s="218">
        <v>324.10000000000002</v>
      </c>
      <c r="F175" s="218" t="s">
        <v>26</v>
      </c>
      <c r="G175" s="218">
        <v>324</v>
      </c>
      <c r="H175" s="220">
        <f>E175-G175</f>
        <v>0.10000000000002274</v>
      </c>
      <c r="I175" s="218">
        <v>324</v>
      </c>
      <c r="J175" s="218">
        <v>324</v>
      </c>
      <c r="K175" s="124"/>
      <c r="L175" s="214">
        <f>I175/J175*100</f>
        <v>100</v>
      </c>
      <c r="M175" s="215">
        <f>IF(L175&lt;10,2,IF(L175&lt;20,3,IF(L175&lt;30,5,IF(L175&gt;=70,12,IF(L175&gt;=30,6)))))</f>
        <v>12</v>
      </c>
      <c r="N175" s="215">
        <v>0</v>
      </c>
      <c r="O175" s="215">
        <v>80000</v>
      </c>
      <c r="P175" s="215">
        <f>I175*O175</f>
        <v>25920000</v>
      </c>
      <c r="Q175" s="215">
        <f>P175*3</f>
        <v>77760000</v>
      </c>
      <c r="R175" s="215">
        <f>M175*N175*R6</f>
        <v>0</v>
      </c>
      <c r="S175" s="215">
        <f>R175+Q175+P175</f>
        <v>103680000</v>
      </c>
      <c r="T175" s="95" t="s">
        <v>599</v>
      </c>
      <c r="U175" s="112">
        <v>25</v>
      </c>
      <c r="V175" s="127">
        <f>G175/U175</f>
        <v>12.96</v>
      </c>
      <c r="W175" s="125" t="str">
        <f>'[1]bang gia'!$C$46</f>
        <v>đồng/cây</v>
      </c>
      <c r="X175" s="120">
        <v>16</v>
      </c>
      <c r="Y175" s="98"/>
      <c r="Z175" s="124"/>
      <c r="AA175" s="121"/>
      <c r="AB175" s="122"/>
      <c r="AC175" s="212">
        <f>SUM(AB175:AB184)</f>
        <v>61290000</v>
      </c>
      <c r="AD175" s="212">
        <f>AC175+S175</f>
        <v>164970000</v>
      </c>
      <c r="AE175" s="228" t="s">
        <v>407</v>
      </c>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c r="AZ175" s="130"/>
      <c r="BA175" s="130"/>
      <c r="BB175" s="130"/>
      <c r="BC175" s="130"/>
      <c r="BD175" s="130"/>
      <c r="BE175" s="130"/>
      <c r="BF175" s="130"/>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c r="CL175" s="130"/>
      <c r="CM175" s="130"/>
      <c r="CN175" s="130"/>
      <c r="CO175" s="130"/>
      <c r="CP175" s="130"/>
      <c r="CQ175" s="130"/>
      <c r="CR175" s="130"/>
      <c r="CS175" s="130"/>
      <c r="CT175" s="130"/>
      <c r="CU175" s="130"/>
      <c r="CV175" s="130"/>
      <c r="CW175" s="130"/>
      <c r="CX175" s="130"/>
      <c r="CY175" s="130"/>
      <c r="CZ175" s="130"/>
      <c r="DA175" s="130"/>
      <c r="DB175" s="130"/>
      <c r="DC175" s="130"/>
      <c r="DD175" s="130"/>
      <c r="DE175" s="130"/>
      <c r="DF175" s="130"/>
      <c r="DG175" s="130"/>
      <c r="DH175" s="130"/>
      <c r="DI175" s="130"/>
      <c r="DJ175" s="130"/>
      <c r="DK175" s="130"/>
      <c r="DL175" s="130"/>
      <c r="DM175" s="130"/>
      <c r="DN175" s="130"/>
      <c r="DO175" s="130"/>
      <c r="DP175" s="130"/>
      <c r="DQ175" s="130"/>
      <c r="DR175" s="130"/>
      <c r="DS175" s="130"/>
      <c r="DT175" s="130"/>
      <c r="DU175" s="130"/>
      <c r="DV175" s="130"/>
      <c r="DW175" s="130"/>
      <c r="DX175" s="130"/>
      <c r="DY175" s="130"/>
      <c r="DZ175" s="130"/>
      <c r="EA175" s="130"/>
      <c r="EB175" s="130"/>
      <c r="EC175" s="130"/>
      <c r="ED175" s="130"/>
      <c r="EE175" s="130"/>
      <c r="EF175" s="130"/>
      <c r="EG175" s="130"/>
      <c r="EH175" s="130"/>
      <c r="EI175" s="130"/>
      <c r="EJ175" s="130"/>
      <c r="EK175" s="130"/>
      <c r="EL175" s="130"/>
      <c r="EM175" s="130"/>
      <c r="EN175" s="130"/>
      <c r="EO175" s="130"/>
      <c r="EP175" s="130"/>
      <c r="EQ175" s="130"/>
      <c r="ER175" s="130"/>
      <c r="ES175" s="130"/>
      <c r="ET175" s="130"/>
      <c r="EU175" s="130"/>
      <c r="EV175" s="130"/>
      <c r="EW175" s="130"/>
      <c r="EX175" s="130"/>
      <c r="EY175" s="130"/>
      <c r="EZ175" s="130"/>
      <c r="FA175" s="130"/>
      <c r="FB175" s="130"/>
      <c r="FC175" s="130"/>
      <c r="FD175" s="130"/>
      <c r="FE175" s="130"/>
      <c r="FF175" s="130"/>
      <c r="FG175" s="130"/>
      <c r="FH175" s="130"/>
      <c r="FI175" s="130"/>
      <c r="FJ175" s="130"/>
      <c r="FK175" s="130"/>
      <c r="FL175" s="130"/>
      <c r="FM175" s="130"/>
      <c r="FN175" s="130"/>
      <c r="FO175" s="130"/>
      <c r="FP175" s="130"/>
      <c r="FQ175" s="130"/>
      <c r="FR175" s="130"/>
      <c r="FS175" s="130"/>
      <c r="FT175" s="130"/>
      <c r="FU175" s="130"/>
      <c r="FV175" s="130"/>
      <c r="FW175" s="130"/>
      <c r="FX175" s="130"/>
      <c r="FY175" s="130"/>
      <c r="FZ175" s="130"/>
      <c r="GA175" s="130"/>
      <c r="GB175" s="130"/>
      <c r="GC175" s="130"/>
      <c r="GD175" s="130"/>
      <c r="GE175" s="130"/>
      <c r="GF175" s="130"/>
      <c r="GG175" s="130"/>
      <c r="GH175" s="130"/>
      <c r="GI175" s="130"/>
      <c r="GJ175" s="130"/>
      <c r="GK175" s="130"/>
      <c r="GL175" s="130"/>
      <c r="GM175" s="130"/>
      <c r="GN175" s="130"/>
      <c r="GO175" s="130"/>
      <c r="GP175" s="130"/>
      <c r="GQ175" s="130"/>
      <c r="GR175" s="130"/>
      <c r="GS175" s="130"/>
      <c r="GT175" s="130"/>
      <c r="GU175" s="130"/>
      <c r="GV175" s="130"/>
      <c r="GW175" s="130"/>
      <c r="GX175" s="130"/>
      <c r="GY175" s="130"/>
      <c r="GZ175" s="130"/>
      <c r="HA175" s="130"/>
      <c r="HB175" s="130"/>
      <c r="HC175" s="130"/>
      <c r="HD175" s="130"/>
      <c r="HE175" s="130"/>
      <c r="HF175" s="130"/>
      <c r="HG175" s="130"/>
      <c r="HH175" s="130"/>
      <c r="HI175" s="130"/>
      <c r="HJ175" s="130"/>
      <c r="HK175" s="130"/>
      <c r="HL175" s="130"/>
      <c r="HM175" s="130"/>
      <c r="HN175" s="130"/>
      <c r="HO175" s="130"/>
      <c r="HP175" s="130"/>
      <c r="HQ175" s="130"/>
      <c r="HR175" s="130"/>
      <c r="HS175" s="130"/>
      <c r="HT175" s="130"/>
      <c r="HU175" s="130"/>
      <c r="HV175" s="130"/>
      <c r="HW175" s="130"/>
      <c r="HX175" s="130"/>
      <c r="HY175" s="130"/>
      <c r="HZ175" s="130"/>
      <c r="IA175" s="130"/>
      <c r="IB175" s="130"/>
      <c r="IC175" s="130"/>
      <c r="ID175" s="130"/>
      <c r="IE175" s="130"/>
      <c r="IF175" s="130"/>
      <c r="IG175" s="130"/>
      <c r="IH175" s="130"/>
      <c r="II175" s="130"/>
      <c r="IJ175" s="130"/>
      <c r="IK175" s="130"/>
      <c r="IL175" s="130"/>
      <c r="IM175" s="130"/>
      <c r="IN175" s="130"/>
      <c r="IO175" s="130"/>
      <c r="IP175" s="130"/>
      <c r="IQ175" s="130"/>
      <c r="IR175" s="130"/>
      <c r="IS175" s="130"/>
      <c r="IT175" s="130"/>
      <c r="IU175" s="130"/>
    </row>
    <row r="176" spans="1:255" s="123" customFormat="1" ht="23.25" customHeight="1">
      <c r="A176" s="216"/>
      <c r="B176" s="223"/>
      <c r="C176" s="217"/>
      <c r="D176" s="217"/>
      <c r="E176" s="218"/>
      <c r="F176" s="218"/>
      <c r="G176" s="218"/>
      <c r="H176" s="220"/>
      <c r="I176" s="218"/>
      <c r="J176" s="218"/>
      <c r="K176" s="124"/>
      <c r="L176" s="214"/>
      <c r="M176" s="215"/>
      <c r="N176" s="215"/>
      <c r="O176" s="215"/>
      <c r="P176" s="215"/>
      <c r="Q176" s="215"/>
      <c r="R176" s="215"/>
      <c r="S176" s="215"/>
      <c r="T176" s="104" t="s">
        <v>399</v>
      </c>
      <c r="U176" s="129"/>
      <c r="V176" s="125"/>
      <c r="W176" s="125" t="str">
        <f>'[1]bang gia'!$C$46</f>
        <v>đồng/cây</v>
      </c>
      <c r="X176" s="120">
        <v>13</v>
      </c>
      <c r="Y176" s="98">
        <v>4500000</v>
      </c>
      <c r="Z176" s="124"/>
      <c r="AA176" s="128">
        <v>1</v>
      </c>
      <c r="AB176" s="122">
        <f t="shared" si="7"/>
        <v>58500000</v>
      </c>
      <c r="AC176" s="212"/>
      <c r="AD176" s="212"/>
      <c r="AE176" s="228"/>
    </row>
    <row r="177" spans="1:255" s="123" customFormat="1" ht="23.25" customHeight="1">
      <c r="A177" s="216"/>
      <c r="B177" s="223"/>
      <c r="C177" s="217"/>
      <c r="D177" s="217"/>
      <c r="E177" s="218"/>
      <c r="F177" s="218"/>
      <c r="G177" s="218"/>
      <c r="H177" s="220"/>
      <c r="I177" s="218"/>
      <c r="J177" s="218"/>
      <c r="K177" s="124"/>
      <c r="L177" s="214"/>
      <c r="M177" s="215"/>
      <c r="N177" s="215"/>
      <c r="O177" s="215"/>
      <c r="P177" s="215"/>
      <c r="Q177" s="215"/>
      <c r="R177" s="215"/>
      <c r="S177" s="215"/>
      <c r="T177" s="133" t="s">
        <v>401</v>
      </c>
      <c r="U177" s="129"/>
      <c r="V177" s="125">
        <f>3*0.3</f>
        <v>0.89999999999999991</v>
      </c>
      <c r="W177" s="125" t="str">
        <f>'[1]bang gia'!$C$46</f>
        <v>đồng/cây</v>
      </c>
      <c r="X177" s="120">
        <v>1</v>
      </c>
      <c r="Y177" s="98">
        <v>4500000</v>
      </c>
      <c r="Z177" s="124"/>
      <c r="AA177" s="121">
        <v>0.3</v>
      </c>
      <c r="AB177" s="122">
        <f t="shared" si="7"/>
        <v>1350000</v>
      </c>
      <c r="AC177" s="212"/>
      <c r="AD177" s="212"/>
      <c r="AE177" s="228"/>
    </row>
    <row r="178" spans="1:255" s="123" customFormat="1" ht="23.25" customHeight="1">
      <c r="A178" s="216"/>
      <c r="B178" s="223"/>
      <c r="C178" s="217"/>
      <c r="D178" s="217"/>
      <c r="E178" s="218"/>
      <c r="F178" s="218"/>
      <c r="G178" s="218"/>
      <c r="H178" s="220"/>
      <c r="I178" s="218"/>
      <c r="J178" s="218"/>
      <c r="K178" s="124"/>
      <c r="L178" s="214"/>
      <c r="M178" s="215"/>
      <c r="N178" s="215"/>
      <c r="O178" s="215"/>
      <c r="P178" s="215"/>
      <c r="Q178" s="215"/>
      <c r="R178" s="215"/>
      <c r="S178" s="215"/>
      <c r="T178" s="133" t="s">
        <v>402</v>
      </c>
      <c r="U178" s="129"/>
      <c r="V178" s="125"/>
      <c r="W178" s="125" t="str">
        <f>'[1]bang gia'!$C$46</f>
        <v>đồng/cây</v>
      </c>
      <c r="X178" s="120">
        <f>X175-X176-X177</f>
        <v>2</v>
      </c>
      <c r="Y178" s="98">
        <v>4500000</v>
      </c>
      <c r="Z178" s="124"/>
      <c r="AA178" s="128">
        <v>0</v>
      </c>
      <c r="AB178" s="122">
        <f t="shared" si="7"/>
        <v>0</v>
      </c>
      <c r="AC178" s="212"/>
      <c r="AD178" s="212"/>
      <c r="AE178" s="228"/>
    </row>
    <row r="179" spans="1:255" s="123" customFormat="1" ht="36.75" customHeight="1">
      <c r="A179" s="216"/>
      <c r="B179" s="223"/>
      <c r="C179" s="217"/>
      <c r="D179" s="217"/>
      <c r="E179" s="218"/>
      <c r="F179" s="218"/>
      <c r="G179" s="218"/>
      <c r="H179" s="220"/>
      <c r="I179" s="218"/>
      <c r="J179" s="218"/>
      <c r="K179" s="124"/>
      <c r="L179" s="214"/>
      <c r="M179" s="215"/>
      <c r="N179" s="215"/>
      <c r="O179" s="215"/>
      <c r="P179" s="215"/>
      <c r="Q179" s="215"/>
      <c r="R179" s="215"/>
      <c r="S179" s="215"/>
      <c r="T179" s="95" t="s">
        <v>429</v>
      </c>
      <c r="U179" s="129">
        <v>4</v>
      </c>
      <c r="V179" s="127">
        <f>G175/U179*0.3</f>
        <v>24.3</v>
      </c>
      <c r="W179" s="129" t="s">
        <v>392</v>
      </c>
      <c r="X179" s="120">
        <v>80</v>
      </c>
      <c r="Y179" s="120"/>
      <c r="Z179" s="124"/>
      <c r="AA179" s="121"/>
      <c r="AB179" s="122"/>
      <c r="AC179" s="212"/>
      <c r="AD179" s="212"/>
      <c r="AE179" s="228"/>
    </row>
    <row r="180" spans="1:255" s="123" customFormat="1" ht="23.25" customHeight="1">
      <c r="A180" s="216"/>
      <c r="B180" s="223"/>
      <c r="C180" s="217"/>
      <c r="D180" s="217"/>
      <c r="E180" s="218"/>
      <c r="F180" s="218"/>
      <c r="G180" s="218"/>
      <c r="H180" s="220"/>
      <c r="I180" s="218"/>
      <c r="J180" s="218"/>
      <c r="K180" s="124"/>
      <c r="L180" s="214"/>
      <c r="M180" s="215"/>
      <c r="N180" s="215"/>
      <c r="O180" s="215"/>
      <c r="P180" s="215"/>
      <c r="Q180" s="215"/>
      <c r="R180" s="215"/>
      <c r="S180" s="215"/>
      <c r="T180" s="104" t="s">
        <v>399</v>
      </c>
      <c r="U180" s="129"/>
      <c r="V180" s="125"/>
      <c r="W180" s="129" t="s">
        <v>392</v>
      </c>
      <c r="X180" s="120">
        <v>24</v>
      </c>
      <c r="Y180" s="120">
        <v>200000</v>
      </c>
      <c r="Z180" s="124"/>
      <c r="AA180" s="121">
        <v>0.3</v>
      </c>
      <c r="AB180" s="122">
        <f>X180*Y180*AA180</f>
        <v>1440000</v>
      </c>
      <c r="AC180" s="212"/>
      <c r="AD180" s="212"/>
      <c r="AE180" s="228"/>
    </row>
    <row r="181" spans="1:255" s="123" customFormat="1" ht="23.25" customHeight="1">
      <c r="A181" s="216"/>
      <c r="B181" s="223"/>
      <c r="C181" s="217"/>
      <c r="D181" s="217"/>
      <c r="E181" s="218"/>
      <c r="F181" s="218"/>
      <c r="G181" s="218"/>
      <c r="H181" s="220"/>
      <c r="I181" s="218"/>
      <c r="J181" s="218"/>
      <c r="K181" s="124"/>
      <c r="L181" s="214"/>
      <c r="M181" s="215"/>
      <c r="N181" s="215"/>
      <c r="O181" s="215"/>
      <c r="P181" s="215"/>
      <c r="Q181" s="215"/>
      <c r="R181" s="215"/>
      <c r="S181" s="215"/>
      <c r="T181" s="104" t="s">
        <v>417</v>
      </c>
      <c r="U181" s="129"/>
      <c r="V181" s="125"/>
      <c r="W181" s="129" t="s">
        <v>392</v>
      </c>
      <c r="X181" s="120">
        <f>X179-X180</f>
        <v>56</v>
      </c>
      <c r="Y181" s="120">
        <v>200000</v>
      </c>
      <c r="Z181" s="124"/>
      <c r="AA181" s="128">
        <v>0</v>
      </c>
      <c r="AB181" s="122">
        <f>X181*Y181*AA181</f>
        <v>0</v>
      </c>
      <c r="AC181" s="212"/>
      <c r="AD181" s="212"/>
      <c r="AE181" s="142"/>
    </row>
    <row r="182" spans="1:255" s="123" customFormat="1" ht="34.9" customHeight="1">
      <c r="A182" s="216"/>
      <c r="B182" s="223"/>
      <c r="C182" s="217"/>
      <c r="D182" s="217"/>
      <c r="E182" s="218"/>
      <c r="F182" s="218"/>
      <c r="G182" s="218"/>
      <c r="H182" s="220"/>
      <c r="I182" s="218"/>
      <c r="J182" s="218"/>
      <c r="K182" s="124"/>
      <c r="L182" s="214"/>
      <c r="M182" s="215"/>
      <c r="N182" s="215"/>
      <c r="O182" s="215"/>
      <c r="P182" s="215"/>
      <c r="Q182" s="215"/>
      <c r="R182" s="215"/>
      <c r="S182" s="215"/>
      <c r="T182" s="95" t="s">
        <v>430</v>
      </c>
      <c r="U182" s="129"/>
      <c r="V182" s="125"/>
      <c r="W182" s="129" t="s">
        <v>392</v>
      </c>
      <c r="X182" s="120">
        <v>60</v>
      </c>
      <c r="Y182" s="120"/>
      <c r="Z182" s="124"/>
      <c r="AA182" s="121"/>
      <c r="AB182" s="120"/>
      <c r="AC182" s="212"/>
      <c r="AD182" s="212"/>
    </row>
    <row r="183" spans="1:255" s="123" customFormat="1" ht="23.25" customHeight="1">
      <c r="A183" s="216"/>
      <c r="B183" s="223"/>
      <c r="C183" s="217"/>
      <c r="D183" s="217"/>
      <c r="E183" s="218"/>
      <c r="F183" s="218"/>
      <c r="G183" s="218"/>
      <c r="H183" s="220"/>
      <c r="I183" s="218"/>
      <c r="J183" s="218"/>
      <c r="K183" s="124"/>
      <c r="L183" s="214"/>
      <c r="M183" s="215"/>
      <c r="N183" s="215"/>
      <c r="O183" s="215"/>
      <c r="P183" s="215"/>
      <c r="Q183" s="215"/>
      <c r="R183" s="215"/>
      <c r="S183" s="215"/>
      <c r="T183" s="104" t="s">
        <v>417</v>
      </c>
      <c r="U183" s="129"/>
      <c r="V183" s="125"/>
      <c r="W183" s="129" t="s">
        <v>392</v>
      </c>
      <c r="X183" s="120">
        <v>60</v>
      </c>
      <c r="Y183" s="120">
        <v>150000</v>
      </c>
      <c r="Z183" s="124"/>
      <c r="AA183" s="121">
        <v>0</v>
      </c>
      <c r="AB183" s="120">
        <v>0</v>
      </c>
      <c r="AC183" s="212"/>
      <c r="AD183" s="212"/>
    </row>
    <row r="184" spans="1:255" s="123" customFormat="1" ht="23.25" customHeight="1">
      <c r="A184" s="216"/>
      <c r="B184" s="223"/>
      <c r="C184" s="217"/>
      <c r="D184" s="217"/>
      <c r="E184" s="218"/>
      <c r="F184" s="218"/>
      <c r="G184" s="218"/>
      <c r="H184" s="220"/>
      <c r="I184" s="218"/>
      <c r="J184" s="218"/>
      <c r="K184" s="124"/>
      <c r="L184" s="214"/>
      <c r="M184" s="215"/>
      <c r="N184" s="215"/>
      <c r="O184" s="215"/>
      <c r="P184" s="215"/>
      <c r="Q184" s="215"/>
      <c r="R184" s="215"/>
      <c r="S184" s="215"/>
      <c r="T184" s="126" t="s">
        <v>413</v>
      </c>
      <c r="U184" s="112"/>
      <c r="V184" s="112"/>
      <c r="W184" s="112" t="s">
        <v>395</v>
      </c>
      <c r="X184" s="122">
        <v>1</v>
      </c>
      <c r="Y184" s="120"/>
      <c r="Z184" s="124"/>
      <c r="AA184" s="121">
        <v>0</v>
      </c>
      <c r="AB184" s="122">
        <f>X184*Y184*AA184</f>
        <v>0</v>
      </c>
      <c r="AC184" s="212"/>
      <c r="AD184" s="212"/>
    </row>
    <row r="185" spans="1:255" s="123" customFormat="1" ht="33" customHeight="1">
      <c r="A185" s="216">
        <v>15</v>
      </c>
      <c r="B185" s="238" t="s">
        <v>600</v>
      </c>
      <c r="C185" s="217">
        <v>62</v>
      </c>
      <c r="D185" s="217">
        <v>539</v>
      </c>
      <c r="E185" s="218">
        <v>323.89999999999998</v>
      </c>
      <c r="F185" s="218" t="s">
        <v>26</v>
      </c>
      <c r="G185" s="220">
        <v>324</v>
      </c>
      <c r="H185" s="220">
        <f>E185-G185</f>
        <v>-0.10000000000002274</v>
      </c>
      <c r="I185" s="220">
        <v>324</v>
      </c>
      <c r="J185" s="220">
        <v>324</v>
      </c>
      <c r="K185" s="124"/>
      <c r="L185" s="214">
        <f>I185/J185*100</f>
        <v>100</v>
      </c>
      <c r="M185" s="215">
        <f>IF(L185&lt;10,2,IF(L185&lt;20,3,IF(L185&lt;30,5,IF(L185&gt;=70,12,IF(L185&gt;=30,6)))))</f>
        <v>12</v>
      </c>
      <c r="N185" s="215">
        <v>4</v>
      </c>
      <c r="O185" s="215">
        <f>$O$6</f>
        <v>80000</v>
      </c>
      <c r="P185" s="215">
        <f>I185*O185</f>
        <v>25920000</v>
      </c>
      <c r="Q185" s="215">
        <f>$Q$6*I185</f>
        <v>77760000</v>
      </c>
      <c r="R185" s="215">
        <f>M185*N185*$R$6</f>
        <v>24480000</v>
      </c>
      <c r="S185" s="215">
        <f>R185+Q185+P185</f>
        <v>128160000</v>
      </c>
      <c r="T185" s="95" t="s">
        <v>599</v>
      </c>
      <c r="U185" s="112">
        <v>25</v>
      </c>
      <c r="V185" s="127">
        <f>G185/U185</f>
        <v>12.96</v>
      </c>
      <c r="W185" s="125" t="str">
        <f>'[1]bang gia'!$C$46</f>
        <v>đồng/cây</v>
      </c>
      <c r="X185" s="120">
        <v>12</v>
      </c>
      <c r="Y185" s="120"/>
      <c r="Z185" s="124"/>
      <c r="AA185" s="121"/>
      <c r="AB185" s="122"/>
      <c r="AC185" s="212">
        <f>SUM(AB185:AB191)</f>
        <v>61575000</v>
      </c>
      <c r="AD185" s="212">
        <f>AC185+S185</f>
        <v>189735000</v>
      </c>
      <c r="AE185" s="228" t="s">
        <v>404</v>
      </c>
      <c r="AF185" s="130"/>
      <c r="AG185" s="130"/>
      <c r="AH185" s="130"/>
      <c r="AI185" s="130"/>
      <c r="AJ185" s="130"/>
      <c r="AK185" s="130"/>
      <c r="AL185" s="130"/>
      <c r="AM185" s="130"/>
      <c r="AN185" s="130"/>
      <c r="AO185" s="130"/>
      <c r="AP185" s="130"/>
      <c r="AQ185" s="130"/>
      <c r="AR185" s="130"/>
      <c r="AS185" s="130"/>
      <c r="AT185" s="130"/>
      <c r="AU185" s="130"/>
      <c r="AV185" s="130"/>
      <c r="AW185" s="130"/>
      <c r="AX185" s="130"/>
      <c r="AY185" s="130"/>
      <c r="AZ185" s="130"/>
      <c r="BA185" s="130"/>
      <c r="BB185" s="130"/>
      <c r="BC185" s="130"/>
      <c r="BD185" s="130"/>
      <c r="BE185" s="130"/>
      <c r="BF185" s="130"/>
      <c r="BG185" s="130"/>
      <c r="BH185" s="130"/>
      <c r="BI185" s="130"/>
      <c r="BJ185" s="130"/>
      <c r="BK185" s="130"/>
      <c r="BL185" s="130"/>
      <c r="BM185" s="130"/>
      <c r="BN185" s="130"/>
      <c r="BO185" s="130"/>
      <c r="BP185" s="130"/>
      <c r="BQ185" s="130"/>
      <c r="BR185" s="130"/>
      <c r="BS185" s="130"/>
      <c r="BT185" s="130"/>
      <c r="BU185" s="130"/>
      <c r="BV185" s="130"/>
      <c r="BW185" s="130"/>
      <c r="BX185" s="130"/>
      <c r="BY185" s="130"/>
      <c r="BZ185" s="130"/>
      <c r="CA185" s="130"/>
      <c r="CB185" s="130"/>
      <c r="CC185" s="130"/>
      <c r="CD185" s="130"/>
      <c r="CE185" s="130"/>
      <c r="CF185" s="130"/>
      <c r="CG185" s="130"/>
      <c r="CH185" s="130"/>
      <c r="CI185" s="130"/>
      <c r="CJ185" s="130"/>
      <c r="CK185" s="130"/>
      <c r="CL185" s="130"/>
      <c r="CM185" s="130"/>
      <c r="CN185" s="130"/>
      <c r="CO185" s="130"/>
      <c r="CP185" s="130"/>
      <c r="CQ185" s="130"/>
      <c r="CR185" s="130"/>
      <c r="CS185" s="130"/>
      <c r="CT185" s="130"/>
      <c r="CU185" s="130"/>
      <c r="CV185" s="130"/>
      <c r="CW185" s="130"/>
      <c r="CX185" s="130"/>
      <c r="CY185" s="130"/>
      <c r="CZ185" s="130"/>
      <c r="DA185" s="130"/>
      <c r="DB185" s="130"/>
      <c r="DC185" s="130"/>
      <c r="DD185" s="130"/>
      <c r="DE185" s="130"/>
      <c r="DF185" s="130"/>
      <c r="DG185" s="130"/>
      <c r="DH185" s="130"/>
      <c r="DI185" s="130"/>
      <c r="DJ185" s="130"/>
      <c r="DK185" s="130"/>
      <c r="DL185" s="130"/>
      <c r="DM185" s="130"/>
      <c r="DN185" s="130"/>
      <c r="DO185" s="130"/>
      <c r="DP185" s="130"/>
      <c r="DQ185" s="130"/>
      <c r="DR185" s="130"/>
      <c r="DS185" s="130"/>
      <c r="DT185" s="130"/>
      <c r="DU185" s="130"/>
      <c r="DV185" s="130"/>
      <c r="DW185" s="130"/>
      <c r="DX185" s="130"/>
      <c r="DY185" s="130"/>
      <c r="DZ185" s="130"/>
      <c r="EA185" s="130"/>
      <c r="EB185" s="130"/>
      <c r="EC185" s="130"/>
      <c r="ED185" s="130"/>
      <c r="EE185" s="130"/>
      <c r="EF185" s="130"/>
      <c r="EG185" s="130"/>
      <c r="EH185" s="130"/>
      <c r="EI185" s="130"/>
      <c r="EJ185" s="130"/>
      <c r="EK185" s="130"/>
      <c r="EL185" s="130"/>
      <c r="EM185" s="130"/>
      <c r="EN185" s="130"/>
      <c r="EO185" s="130"/>
      <c r="EP185" s="130"/>
      <c r="EQ185" s="130"/>
      <c r="ER185" s="130"/>
      <c r="ES185" s="130"/>
      <c r="ET185" s="130"/>
      <c r="EU185" s="130"/>
      <c r="EV185" s="130"/>
      <c r="EW185" s="130"/>
      <c r="EX185" s="130"/>
      <c r="EY185" s="130"/>
      <c r="EZ185" s="130"/>
      <c r="FA185" s="130"/>
      <c r="FB185" s="130"/>
      <c r="FC185" s="130"/>
      <c r="FD185" s="130"/>
      <c r="FE185" s="130"/>
      <c r="FF185" s="130"/>
      <c r="FG185" s="130"/>
      <c r="FH185" s="130"/>
      <c r="FI185" s="130"/>
      <c r="FJ185" s="130"/>
      <c r="FK185" s="130"/>
      <c r="FL185" s="130"/>
      <c r="FM185" s="130"/>
      <c r="FN185" s="130"/>
      <c r="FO185" s="130"/>
      <c r="FP185" s="130"/>
      <c r="FQ185" s="130"/>
      <c r="FR185" s="130"/>
      <c r="FS185" s="130"/>
      <c r="FT185" s="130"/>
      <c r="FU185" s="130"/>
      <c r="FV185" s="130"/>
      <c r="FW185" s="130"/>
      <c r="FX185" s="130"/>
      <c r="FY185" s="130"/>
      <c r="FZ185" s="130"/>
      <c r="GA185" s="130"/>
      <c r="GB185" s="130"/>
      <c r="GC185" s="130"/>
      <c r="GD185" s="130"/>
      <c r="GE185" s="130"/>
      <c r="GF185" s="130"/>
      <c r="GG185" s="130"/>
      <c r="GH185" s="130"/>
      <c r="GI185" s="130"/>
      <c r="GJ185" s="130"/>
      <c r="GK185" s="130"/>
      <c r="GL185" s="130"/>
      <c r="GM185" s="130"/>
      <c r="GN185" s="130"/>
      <c r="GO185" s="130"/>
      <c r="GP185" s="130"/>
      <c r="GQ185" s="130"/>
      <c r="GR185" s="130"/>
      <c r="GS185" s="130"/>
      <c r="GT185" s="130"/>
      <c r="GU185" s="130"/>
      <c r="GV185" s="130"/>
      <c r="GW185" s="130"/>
      <c r="GX185" s="130"/>
      <c r="GY185" s="130"/>
      <c r="GZ185" s="130"/>
      <c r="HA185" s="130"/>
      <c r="HB185" s="130"/>
      <c r="HC185" s="130"/>
      <c r="HD185" s="130"/>
      <c r="HE185" s="130"/>
      <c r="HF185" s="130"/>
      <c r="HG185" s="130"/>
      <c r="HH185" s="130"/>
      <c r="HI185" s="130"/>
      <c r="HJ185" s="130"/>
      <c r="HK185" s="130"/>
      <c r="HL185" s="130"/>
      <c r="HM185" s="130"/>
      <c r="HN185" s="130"/>
      <c r="HO185" s="130"/>
      <c r="HP185" s="130"/>
      <c r="HQ185" s="130"/>
      <c r="HR185" s="130"/>
      <c r="HS185" s="130"/>
      <c r="HT185" s="130"/>
      <c r="HU185" s="130"/>
      <c r="HV185" s="130"/>
      <c r="HW185" s="130"/>
      <c r="HX185" s="130"/>
      <c r="HY185" s="130"/>
      <c r="HZ185" s="130"/>
      <c r="IA185" s="130"/>
      <c r="IB185" s="130"/>
      <c r="IC185" s="130"/>
      <c r="ID185" s="130"/>
      <c r="IE185" s="130"/>
      <c r="IF185" s="130"/>
      <c r="IG185" s="130"/>
      <c r="IH185" s="130"/>
      <c r="II185" s="130"/>
      <c r="IJ185" s="130"/>
      <c r="IK185" s="130"/>
      <c r="IL185" s="130"/>
      <c r="IM185" s="130"/>
      <c r="IN185" s="130"/>
      <c r="IO185" s="130"/>
      <c r="IP185" s="130"/>
      <c r="IQ185" s="130"/>
      <c r="IR185" s="130"/>
      <c r="IS185" s="130"/>
      <c r="IT185" s="130"/>
      <c r="IU185" s="130"/>
    </row>
    <row r="186" spans="1:255" s="123" customFormat="1" ht="21" customHeight="1">
      <c r="A186" s="216"/>
      <c r="B186" s="238"/>
      <c r="C186" s="217"/>
      <c r="D186" s="217"/>
      <c r="E186" s="218"/>
      <c r="F186" s="218"/>
      <c r="G186" s="220"/>
      <c r="H186" s="220"/>
      <c r="I186" s="220"/>
      <c r="J186" s="220"/>
      <c r="K186" s="124"/>
      <c r="L186" s="214"/>
      <c r="M186" s="215"/>
      <c r="N186" s="215"/>
      <c r="O186" s="215"/>
      <c r="P186" s="215"/>
      <c r="Q186" s="215"/>
      <c r="R186" s="215"/>
      <c r="S186" s="215"/>
      <c r="T186" s="104" t="s">
        <v>399</v>
      </c>
      <c r="U186" s="112"/>
      <c r="V186" s="125"/>
      <c r="W186" s="125" t="str">
        <f>'[1]bang gia'!$C$46</f>
        <v>đồng/cây</v>
      </c>
      <c r="X186" s="120">
        <v>12</v>
      </c>
      <c r="Y186" s="120">
        <v>4500000</v>
      </c>
      <c r="Z186" s="124"/>
      <c r="AA186" s="121">
        <v>1</v>
      </c>
      <c r="AB186" s="122">
        <f t="shared" ref="AB186:AB191" si="8">X186*Y186*AA186</f>
        <v>54000000</v>
      </c>
      <c r="AC186" s="212"/>
      <c r="AD186" s="212"/>
      <c r="AE186" s="228"/>
      <c r="AF186" s="130"/>
      <c r="AG186" s="130"/>
      <c r="AH186" s="130"/>
      <c r="AI186" s="130"/>
      <c r="AJ186" s="130"/>
      <c r="AK186" s="130"/>
      <c r="AL186" s="130"/>
      <c r="AM186" s="130"/>
      <c r="AN186" s="130"/>
      <c r="AO186" s="130"/>
      <c r="AP186" s="130"/>
      <c r="AQ186" s="130"/>
      <c r="AR186" s="130"/>
      <c r="AS186" s="130"/>
      <c r="AT186" s="130"/>
      <c r="AU186" s="130"/>
      <c r="AV186" s="130"/>
      <c r="AW186" s="130"/>
      <c r="AX186" s="130"/>
      <c r="AY186" s="130"/>
      <c r="AZ186" s="130"/>
      <c r="BA186" s="130"/>
      <c r="BB186" s="130"/>
      <c r="BC186" s="130"/>
      <c r="BD186" s="130"/>
      <c r="BE186" s="130"/>
      <c r="BF186" s="130"/>
      <c r="BG186" s="130"/>
      <c r="BH186" s="130"/>
      <c r="BI186" s="130"/>
      <c r="BJ186" s="130"/>
      <c r="BK186" s="130"/>
      <c r="BL186" s="130"/>
      <c r="BM186" s="130"/>
      <c r="BN186" s="130"/>
      <c r="BO186" s="130"/>
      <c r="BP186" s="130"/>
      <c r="BQ186" s="130"/>
      <c r="BR186" s="130"/>
      <c r="BS186" s="130"/>
      <c r="BT186" s="130"/>
      <c r="BU186" s="130"/>
      <c r="BV186" s="130"/>
      <c r="BW186" s="130"/>
      <c r="BX186" s="130"/>
      <c r="BY186" s="130"/>
      <c r="BZ186" s="130"/>
      <c r="CA186" s="130"/>
      <c r="CB186" s="130"/>
      <c r="CC186" s="130"/>
      <c r="CD186" s="130"/>
      <c r="CE186" s="130"/>
      <c r="CF186" s="130"/>
      <c r="CG186" s="130"/>
      <c r="CH186" s="130"/>
      <c r="CI186" s="130"/>
      <c r="CJ186" s="130"/>
      <c r="CK186" s="130"/>
      <c r="CL186" s="130"/>
      <c r="CM186" s="130"/>
      <c r="CN186" s="130"/>
      <c r="CO186" s="130"/>
      <c r="CP186" s="130"/>
      <c r="CQ186" s="130"/>
      <c r="CR186" s="130"/>
      <c r="CS186" s="130"/>
      <c r="CT186" s="130"/>
      <c r="CU186" s="130"/>
      <c r="CV186" s="130"/>
      <c r="CW186" s="130"/>
      <c r="CX186" s="130"/>
      <c r="CY186" s="130"/>
      <c r="CZ186" s="130"/>
      <c r="DA186" s="130"/>
      <c r="DB186" s="130"/>
      <c r="DC186" s="130"/>
      <c r="DD186" s="130"/>
      <c r="DE186" s="130"/>
      <c r="DF186" s="130"/>
      <c r="DG186" s="130"/>
      <c r="DH186" s="130"/>
      <c r="DI186" s="130"/>
      <c r="DJ186" s="130"/>
      <c r="DK186" s="130"/>
      <c r="DL186" s="130"/>
      <c r="DM186" s="130"/>
      <c r="DN186" s="130"/>
      <c r="DO186" s="130"/>
      <c r="DP186" s="130"/>
      <c r="DQ186" s="130"/>
      <c r="DR186" s="130"/>
      <c r="DS186" s="130"/>
      <c r="DT186" s="130"/>
      <c r="DU186" s="130"/>
      <c r="DV186" s="130"/>
      <c r="DW186" s="130"/>
      <c r="DX186" s="130"/>
      <c r="DY186" s="130"/>
      <c r="DZ186" s="130"/>
      <c r="EA186" s="130"/>
      <c r="EB186" s="130"/>
      <c r="EC186" s="130"/>
      <c r="ED186" s="130"/>
      <c r="EE186" s="130"/>
      <c r="EF186" s="130"/>
      <c r="EG186" s="130"/>
      <c r="EH186" s="130"/>
      <c r="EI186" s="130"/>
      <c r="EJ186" s="130"/>
      <c r="EK186" s="130"/>
      <c r="EL186" s="130"/>
      <c r="EM186" s="130"/>
      <c r="EN186" s="130"/>
      <c r="EO186" s="130"/>
      <c r="EP186" s="130"/>
      <c r="EQ186" s="130"/>
      <c r="ER186" s="130"/>
      <c r="ES186" s="130"/>
      <c r="ET186" s="130"/>
      <c r="EU186" s="130"/>
      <c r="EV186" s="130"/>
      <c r="EW186" s="130"/>
      <c r="EX186" s="130"/>
      <c r="EY186" s="130"/>
      <c r="EZ186" s="130"/>
      <c r="FA186" s="130"/>
      <c r="FB186" s="130"/>
      <c r="FC186" s="130"/>
      <c r="FD186" s="130"/>
      <c r="FE186" s="130"/>
      <c r="FF186" s="130"/>
      <c r="FG186" s="130"/>
      <c r="FH186" s="130"/>
      <c r="FI186" s="130"/>
      <c r="FJ186" s="130"/>
      <c r="FK186" s="130"/>
      <c r="FL186" s="130"/>
      <c r="FM186" s="130"/>
      <c r="FN186" s="130"/>
      <c r="FO186" s="130"/>
      <c r="FP186" s="130"/>
      <c r="FQ186" s="130"/>
      <c r="FR186" s="130"/>
      <c r="FS186" s="130"/>
      <c r="FT186" s="130"/>
      <c r="FU186" s="130"/>
      <c r="FV186" s="130"/>
      <c r="FW186" s="130"/>
      <c r="FX186" s="130"/>
      <c r="FY186" s="130"/>
      <c r="FZ186" s="130"/>
      <c r="GA186" s="130"/>
      <c r="GB186" s="130"/>
      <c r="GC186" s="130"/>
      <c r="GD186" s="130"/>
      <c r="GE186" s="130"/>
      <c r="GF186" s="130"/>
      <c r="GG186" s="130"/>
      <c r="GH186" s="130"/>
      <c r="GI186" s="130"/>
      <c r="GJ186" s="130"/>
      <c r="GK186" s="130"/>
      <c r="GL186" s="130"/>
      <c r="GM186" s="130"/>
      <c r="GN186" s="130"/>
      <c r="GO186" s="130"/>
      <c r="GP186" s="130"/>
      <c r="GQ186" s="130"/>
      <c r="GR186" s="130"/>
      <c r="GS186" s="130"/>
      <c r="GT186" s="130"/>
      <c r="GU186" s="130"/>
      <c r="GV186" s="130"/>
      <c r="GW186" s="130"/>
      <c r="GX186" s="130"/>
      <c r="GY186" s="130"/>
      <c r="GZ186" s="130"/>
      <c r="HA186" s="130"/>
      <c r="HB186" s="130"/>
      <c r="HC186" s="130"/>
      <c r="HD186" s="130"/>
      <c r="HE186" s="130"/>
      <c r="HF186" s="130"/>
      <c r="HG186" s="130"/>
      <c r="HH186" s="130"/>
      <c r="HI186" s="130"/>
      <c r="HJ186" s="130"/>
      <c r="HK186" s="130"/>
      <c r="HL186" s="130"/>
      <c r="HM186" s="130"/>
      <c r="HN186" s="130"/>
      <c r="HO186" s="130"/>
      <c r="HP186" s="130"/>
      <c r="HQ186" s="130"/>
      <c r="HR186" s="130"/>
      <c r="HS186" s="130"/>
      <c r="HT186" s="130"/>
      <c r="HU186" s="130"/>
      <c r="HV186" s="130"/>
      <c r="HW186" s="130"/>
      <c r="HX186" s="130"/>
      <c r="HY186" s="130"/>
      <c r="HZ186" s="130"/>
      <c r="IA186" s="130"/>
      <c r="IB186" s="130"/>
      <c r="IC186" s="130"/>
      <c r="ID186" s="130"/>
      <c r="IE186" s="130"/>
      <c r="IF186" s="130"/>
      <c r="IG186" s="130"/>
      <c r="IH186" s="130"/>
      <c r="II186" s="130"/>
      <c r="IJ186" s="130"/>
      <c r="IK186" s="130"/>
      <c r="IL186" s="130"/>
      <c r="IM186" s="130"/>
      <c r="IN186" s="130"/>
      <c r="IO186" s="130"/>
      <c r="IP186" s="130"/>
      <c r="IQ186" s="130"/>
      <c r="IR186" s="130"/>
      <c r="IS186" s="130"/>
      <c r="IT186" s="130"/>
      <c r="IU186" s="130"/>
    </row>
    <row r="187" spans="1:255" s="123" customFormat="1" ht="39.75" customHeight="1">
      <c r="A187" s="216"/>
      <c r="B187" s="238"/>
      <c r="C187" s="217"/>
      <c r="D187" s="217"/>
      <c r="E187" s="218"/>
      <c r="F187" s="218"/>
      <c r="G187" s="220"/>
      <c r="H187" s="220"/>
      <c r="I187" s="220"/>
      <c r="J187" s="220"/>
      <c r="K187" s="124"/>
      <c r="L187" s="214"/>
      <c r="M187" s="215"/>
      <c r="N187" s="215"/>
      <c r="O187" s="215"/>
      <c r="P187" s="215"/>
      <c r="Q187" s="215"/>
      <c r="R187" s="215"/>
      <c r="S187" s="215"/>
      <c r="T187" s="95" t="s">
        <v>429</v>
      </c>
      <c r="U187" s="112">
        <v>4</v>
      </c>
      <c r="V187" s="127">
        <f>G185/U187</f>
        <v>81</v>
      </c>
      <c r="W187" s="96" t="s">
        <v>392</v>
      </c>
      <c r="X187" s="116">
        <v>60</v>
      </c>
      <c r="Y187" s="141"/>
      <c r="Z187" s="105"/>
      <c r="AA187" s="105"/>
      <c r="AB187" s="141"/>
      <c r="AC187" s="212"/>
      <c r="AD187" s="212"/>
      <c r="AE187" s="228"/>
      <c r="AF187" s="130"/>
      <c r="AG187" s="130"/>
      <c r="AH187" s="130"/>
      <c r="AI187" s="130"/>
      <c r="AJ187" s="130"/>
      <c r="AK187" s="130"/>
      <c r="AL187" s="130"/>
      <c r="AM187" s="130"/>
      <c r="AN187" s="130"/>
      <c r="AO187" s="130"/>
      <c r="AP187" s="130"/>
      <c r="AQ187" s="130"/>
      <c r="AR187" s="130"/>
      <c r="AS187" s="130"/>
      <c r="AT187" s="130"/>
      <c r="AU187" s="130"/>
      <c r="AV187" s="130"/>
      <c r="AW187" s="130"/>
      <c r="AX187" s="130"/>
      <c r="AY187" s="130"/>
      <c r="AZ187" s="130"/>
      <c r="BA187" s="130"/>
      <c r="BB187" s="130"/>
      <c r="BC187" s="130"/>
      <c r="BD187" s="130"/>
      <c r="BE187" s="130"/>
      <c r="BF187" s="130"/>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c r="CL187" s="130"/>
      <c r="CM187" s="130"/>
      <c r="CN187" s="130"/>
      <c r="CO187" s="130"/>
      <c r="CP187" s="130"/>
      <c r="CQ187" s="130"/>
      <c r="CR187" s="130"/>
      <c r="CS187" s="130"/>
      <c r="CT187" s="130"/>
      <c r="CU187" s="130"/>
      <c r="CV187" s="130"/>
      <c r="CW187" s="130"/>
      <c r="CX187" s="130"/>
      <c r="CY187" s="130"/>
      <c r="CZ187" s="130"/>
      <c r="DA187" s="130"/>
      <c r="DB187" s="130"/>
      <c r="DC187" s="130"/>
      <c r="DD187" s="130"/>
      <c r="DE187" s="130"/>
      <c r="DF187" s="130"/>
      <c r="DG187" s="130"/>
      <c r="DH187" s="130"/>
      <c r="DI187" s="130"/>
      <c r="DJ187" s="130"/>
      <c r="DK187" s="130"/>
      <c r="DL187" s="130"/>
      <c r="DM187" s="130"/>
      <c r="DN187" s="130"/>
      <c r="DO187" s="130"/>
      <c r="DP187" s="130"/>
      <c r="DQ187" s="130"/>
      <c r="DR187" s="130"/>
      <c r="DS187" s="130"/>
      <c r="DT187" s="130"/>
      <c r="DU187" s="130"/>
      <c r="DV187" s="130"/>
      <c r="DW187" s="130"/>
      <c r="DX187" s="130"/>
      <c r="DY187" s="130"/>
      <c r="DZ187" s="130"/>
      <c r="EA187" s="130"/>
      <c r="EB187" s="130"/>
      <c r="EC187" s="130"/>
      <c r="ED187" s="130"/>
      <c r="EE187" s="130"/>
      <c r="EF187" s="130"/>
      <c r="EG187" s="130"/>
      <c r="EH187" s="130"/>
      <c r="EI187" s="130"/>
      <c r="EJ187" s="130"/>
      <c r="EK187" s="130"/>
      <c r="EL187" s="130"/>
      <c r="EM187" s="130"/>
      <c r="EN187" s="130"/>
      <c r="EO187" s="130"/>
      <c r="EP187" s="130"/>
      <c r="EQ187" s="130"/>
      <c r="ER187" s="130"/>
      <c r="ES187" s="130"/>
      <c r="ET187" s="130"/>
      <c r="EU187" s="130"/>
      <c r="EV187" s="130"/>
      <c r="EW187" s="130"/>
      <c r="EX187" s="130"/>
      <c r="EY187" s="130"/>
      <c r="EZ187" s="130"/>
      <c r="FA187" s="130"/>
      <c r="FB187" s="130"/>
      <c r="FC187" s="130"/>
      <c r="FD187" s="130"/>
      <c r="FE187" s="130"/>
      <c r="FF187" s="130"/>
      <c r="FG187" s="130"/>
      <c r="FH187" s="130"/>
      <c r="FI187" s="130"/>
      <c r="FJ187" s="130"/>
      <c r="FK187" s="130"/>
      <c r="FL187" s="130"/>
      <c r="FM187" s="130"/>
      <c r="FN187" s="130"/>
      <c r="FO187" s="130"/>
      <c r="FP187" s="130"/>
      <c r="FQ187" s="130"/>
      <c r="FR187" s="130"/>
      <c r="FS187" s="130"/>
      <c r="FT187" s="130"/>
      <c r="FU187" s="130"/>
      <c r="FV187" s="130"/>
      <c r="FW187" s="130"/>
      <c r="FX187" s="130"/>
      <c r="FY187" s="130"/>
      <c r="FZ187" s="130"/>
      <c r="GA187" s="130"/>
      <c r="GB187" s="130"/>
      <c r="GC187" s="130"/>
      <c r="GD187" s="130"/>
      <c r="GE187" s="130"/>
      <c r="GF187" s="130"/>
      <c r="GG187" s="130"/>
      <c r="GH187" s="130"/>
      <c r="GI187" s="130"/>
      <c r="GJ187" s="130"/>
      <c r="GK187" s="130"/>
      <c r="GL187" s="130"/>
      <c r="GM187" s="130"/>
      <c r="GN187" s="130"/>
      <c r="GO187" s="130"/>
      <c r="GP187" s="130"/>
      <c r="GQ187" s="130"/>
      <c r="GR187" s="130"/>
      <c r="GS187" s="130"/>
      <c r="GT187" s="130"/>
      <c r="GU187" s="130"/>
      <c r="GV187" s="130"/>
      <c r="GW187" s="130"/>
      <c r="GX187" s="130"/>
      <c r="GY187" s="130"/>
      <c r="GZ187" s="130"/>
      <c r="HA187" s="130"/>
      <c r="HB187" s="130"/>
      <c r="HC187" s="130"/>
      <c r="HD187" s="130"/>
      <c r="HE187" s="130"/>
      <c r="HF187" s="130"/>
      <c r="HG187" s="130"/>
      <c r="HH187" s="130"/>
      <c r="HI187" s="130"/>
      <c r="HJ187" s="130"/>
      <c r="HK187" s="130"/>
      <c r="HL187" s="130"/>
      <c r="HM187" s="130"/>
      <c r="HN187" s="130"/>
      <c r="HO187" s="130"/>
      <c r="HP187" s="130"/>
      <c r="HQ187" s="130"/>
      <c r="HR187" s="130"/>
      <c r="HS187" s="130"/>
      <c r="HT187" s="130"/>
      <c r="HU187" s="130"/>
      <c r="HV187" s="130"/>
      <c r="HW187" s="130"/>
      <c r="HX187" s="130"/>
      <c r="HY187" s="130"/>
      <c r="HZ187" s="130"/>
      <c r="IA187" s="130"/>
      <c r="IB187" s="130"/>
      <c r="IC187" s="130"/>
      <c r="ID187" s="130"/>
      <c r="IE187" s="130"/>
      <c r="IF187" s="130"/>
      <c r="IG187" s="130"/>
      <c r="IH187" s="130"/>
      <c r="II187" s="130"/>
      <c r="IJ187" s="130"/>
      <c r="IK187" s="130"/>
      <c r="IL187" s="130"/>
      <c r="IM187" s="130"/>
      <c r="IN187" s="130"/>
      <c r="IO187" s="130"/>
      <c r="IP187" s="130"/>
      <c r="IQ187" s="130"/>
      <c r="IR187" s="130"/>
      <c r="IS187" s="130"/>
      <c r="IT187" s="130"/>
      <c r="IU187" s="130"/>
    </row>
    <row r="188" spans="1:255" s="123" customFormat="1" ht="21.75" customHeight="1">
      <c r="A188" s="216"/>
      <c r="B188" s="238"/>
      <c r="C188" s="217"/>
      <c r="D188" s="217"/>
      <c r="E188" s="218"/>
      <c r="F188" s="218"/>
      <c r="G188" s="220"/>
      <c r="H188" s="220"/>
      <c r="I188" s="220"/>
      <c r="J188" s="220"/>
      <c r="K188" s="124"/>
      <c r="L188" s="214"/>
      <c r="M188" s="215"/>
      <c r="N188" s="215"/>
      <c r="O188" s="215"/>
      <c r="P188" s="215"/>
      <c r="Q188" s="215"/>
      <c r="R188" s="215"/>
      <c r="S188" s="215"/>
      <c r="T188" s="104" t="s">
        <v>399</v>
      </c>
      <c r="U188" s="112"/>
      <c r="V188" s="125"/>
      <c r="W188" s="96" t="s">
        <v>392</v>
      </c>
      <c r="X188" s="114">
        <v>60</v>
      </c>
      <c r="Y188" s="98">
        <v>200000</v>
      </c>
      <c r="Z188" s="98"/>
      <c r="AA188" s="99">
        <v>0.5</v>
      </c>
      <c r="AB188" s="97">
        <f t="shared" si="8"/>
        <v>6000000</v>
      </c>
      <c r="AC188" s="212"/>
      <c r="AD188" s="212"/>
      <c r="AE188" s="228"/>
      <c r="AF188" s="130"/>
      <c r="AG188" s="130"/>
      <c r="AH188" s="130"/>
      <c r="AI188" s="130"/>
      <c r="AJ188" s="130"/>
      <c r="AK188" s="130"/>
      <c r="AL188" s="130"/>
      <c r="AM188" s="130"/>
      <c r="AN188" s="130"/>
      <c r="AO188" s="130"/>
      <c r="AP188" s="130"/>
      <c r="AQ188" s="130"/>
      <c r="AR188" s="130"/>
      <c r="AS188" s="130"/>
      <c r="AT188" s="130"/>
      <c r="AU188" s="130"/>
      <c r="AV188" s="130"/>
      <c r="AW188" s="130"/>
      <c r="AX188" s="130"/>
      <c r="AY188" s="130"/>
      <c r="AZ188" s="130"/>
      <c r="BA188" s="130"/>
      <c r="BB188" s="130"/>
      <c r="BC188" s="130"/>
      <c r="BD188" s="130"/>
      <c r="BE188" s="130"/>
      <c r="BF188" s="130"/>
      <c r="BG188" s="130"/>
      <c r="BH188" s="130"/>
      <c r="BI188" s="130"/>
      <c r="BJ188" s="130"/>
      <c r="BK188" s="130"/>
      <c r="BL188" s="130"/>
      <c r="BM188" s="130"/>
      <c r="BN188" s="130"/>
      <c r="BO188" s="130"/>
      <c r="BP188" s="130"/>
      <c r="BQ188" s="130"/>
      <c r="BR188" s="130"/>
      <c r="BS188" s="130"/>
      <c r="BT188" s="130"/>
      <c r="BU188" s="130"/>
      <c r="BV188" s="130"/>
      <c r="BW188" s="130"/>
      <c r="BX188" s="130"/>
      <c r="BY188" s="130"/>
      <c r="BZ188" s="130"/>
      <c r="CA188" s="130"/>
      <c r="CB188" s="130"/>
      <c r="CC188" s="130"/>
      <c r="CD188" s="130"/>
      <c r="CE188" s="130"/>
      <c r="CF188" s="130"/>
      <c r="CG188" s="130"/>
      <c r="CH188" s="130"/>
      <c r="CI188" s="130"/>
      <c r="CJ188" s="130"/>
      <c r="CK188" s="130"/>
      <c r="CL188" s="130"/>
      <c r="CM188" s="130"/>
      <c r="CN188" s="130"/>
      <c r="CO188" s="130"/>
      <c r="CP188" s="130"/>
      <c r="CQ188" s="130"/>
      <c r="CR188" s="130"/>
      <c r="CS188" s="130"/>
      <c r="CT188" s="130"/>
      <c r="CU188" s="130"/>
      <c r="CV188" s="130"/>
      <c r="CW188" s="130"/>
      <c r="CX188" s="130"/>
      <c r="CY188" s="130"/>
      <c r="CZ188" s="130"/>
      <c r="DA188" s="130"/>
      <c r="DB188" s="130"/>
      <c r="DC188" s="130"/>
      <c r="DD188" s="130"/>
      <c r="DE188" s="130"/>
      <c r="DF188" s="130"/>
      <c r="DG188" s="130"/>
      <c r="DH188" s="130"/>
      <c r="DI188" s="130"/>
      <c r="DJ188" s="130"/>
      <c r="DK188" s="130"/>
      <c r="DL188" s="130"/>
      <c r="DM188" s="130"/>
      <c r="DN188" s="130"/>
      <c r="DO188" s="130"/>
      <c r="DP188" s="130"/>
      <c r="DQ188" s="130"/>
      <c r="DR188" s="130"/>
      <c r="DS188" s="130"/>
      <c r="DT188" s="130"/>
      <c r="DU188" s="130"/>
      <c r="DV188" s="130"/>
      <c r="DW188" s="130"/>
      <c r="DX188" s="130"/>
      <c r="DY188" s="130"/>
      <c r="DZ188" s="130"/>
      <c r="EA188" s="130"/>
      <c r="EB188" s="130"/>
      <c r="EC188" s="130"/>
      <c r="ED188" s="130"/>
      <c r="EE188" s="130"/>
      <c r="EF188" s="130"/>
      <c r="EG188" s="130"/>
      <c r="EH188" s="130"/>
      <c r="EI188" s="130"/>
      <c r="EJ188" s="130"/>
      <c r="EK188" s="130"/>
      <c r="EL188" s="130"/>
      <c r="EM188" s="130"/>
      <c r="EN188" s="130"/>
      <c r="EO188" s="130"/>
      <c r="EP188" s="130"/>
      <c r="EQ188" s="130"/>
      <c r="ER188" s="130"/>
      <c r="ES188" s="130"/>
      <c r="ET188" s="130"/>
      <c r="EU188" s="130"/>
      <c r="EV188" s="130"/>
      <c r="EW188" s="130"/>
      <c r="EX188" s="130"/>
      <c r="EY188" s="130"/>
      <c r="EZ188" s="130"/>
      <c r="FA188" s="130"/>
      <c r="FB188" s="130"/>
      <c r="FC188" s="130"/>
      <c r="FD188" s="130"/>
      <c r="FE188" s="130"/>
      <c r="FF188" s="130"/>
      <c r="FG188" s="130"/>
      <c r="FH188" s="130"/>
      <c r="FI188" s="130"/>
      <c r="FJ188" s="130"/>
      <c r="FK188" s="130"/>
      <c r="FL188" s="130"/>
      <c r="FM188" s="130"/>
      <c r="FN188" s="130"/>
      <c r="FO188" s="130"/>
      <c r="FP188" s="130"/>
      <c r="FQ188" s="130"/>
      <c r="FR188" s="130"/>
      <c r="FS188" s="130"/>
      <c r="FT188" s="130"/>
      <c r="FU188" s="130"/>
      <c r="FV188" s="130"/>
      <c r="FW188" s="130"/>
      <c r="FX188" s="130"/>
      <c r="FY188" s="130"/>
      <c r="FZ188" s="130"/>
      <c r="GA188" s="130"/>
      <c r="GB188" s="130"/>
      <c r="GC188" s="130"/>
      <c r="GD188" s="130"/>
      <c r="GE188" s="130"/>
      <c r="GF188" s="130"/>
      <c r="GG188" s="130"/>
      <c r="GH188" s="130"/>
      <c r="GI188" s="130"/>
      <c r="GJ188" s="130"/>
      <c r="GK188" s="130"/>
      <c r="GL188" s="130"/>
      <c r="GM188" s="130"/>
      <c r="GN188" s="130"/>
      <c r="GO188" s="130"/>
      <c r="GP188" s="130"/>
      <c r="GQ188" s="130"/>
      <c r="GR188" s="130"/>
      <c r="GS188" s="130"/>
      <c r="GT188" s="130"/>
      <c r="GU188" s="130"/>
      <c r="GV188" s="130"/>
      <c r="GW188" s="130"/>
      <c r="GX188" s="130"/>
      <c r="GY188" s="130"/>
      <c r="GZ188" s="130"/>
      <c r="HA188" s="130"/>
      <c r="HB188" s="130"/>
      <c r="HC188" s="130"/>
      <c r="HD188" s="130"/>
      <c r="HE188" s="130"/>
      <c r="HF188" s="130"/>
      <c r="HG188" s="130"/>
      <c r="HH188" s="130"/>
      <c r="HI188" s="130"/>
      <c r="HJ188" s="130"/>
      <c r="HK188" s="130"/>
      <c r="HL188" s="130"/>
      <c r="HM188" s="130"/>
      <c r="HN188" s="130"/>
      <c r="HO188" s="130"/>
      <c r="HP188" s="130"/>
      <c r="HQ188" s="130"/>
      <c r="HR188" s="130"/>
      <c r="HS188" s="130"/>
      <c r="HT188" s="130"/>
      <c r="HU188" s="130"/>
      <c r="HV188" s="130"/>
      <c r="HW188" s="130"/>
      <c r="HX188" s="130"/>
      <c r="HY188" s="130"/>
      <c r="HZ188" s="130"/>
      <c r="IA188" s="130"/>
      <c r="IB188" s="130"/>
      <c r="IC188" s="130"/>
      <c r="ID188" s="130"/>
      <c r="IE188" s="130"/>
      <c r="IF188" s="130"/>
      <c r="IG188" s="130"/>
      <c r="IH188" s="130"/>
      <c r="II188" s="130"/>
      <c r="IJ188" s="130"/>
      <c r="IK188" s="130"/>
      <c r="IL188" s="130"/>
      <c r="IM188" s="130"/>
      <c r="IN188" s="130"/>
      <c r="IO188" s="130"/>
      <c r="IP188" s="130"/>
      <c r="IQ188" s="130"/>
      <c r="IR188" s="130"/>
      <c r="IS188" s="130"/>
      <c r="IT188" s="130"/>
      <c r="IU188" s="130"/>
    </row>
    <row r="189" spans="1:255" s="123" customFormat="1" ht="34.5" customHeight="1">
      <c r="A189" s="216"/>
      <c r="B189" s="238"/>
      <c r="C189" s="217"/>
      <c r="D189" s="217"/>
      <c r="E189" s="218"/>
      <c r="F189" s="218"/>
      <c r="G189" s="220"/>
      <c r="H189" s="220"/>
      <c r="I189" s="220"/>
      <c r="J189" s="220"/>
      <c r="K189" s="124"/>
      <c r="L189" s="214"/>
      <c r="M189" s="215"/>
      <c r="N189" s="215"/>
      <c r="O189" s="215"/>
      <c r="P189" s="215"/>
      <c r="Q189" s="215"/>
      <c r="R189" s="215"/>
      <c r="S189" s="215"/>
      <c r="T189" s="95" t="s">
        <v>430</v>
      </c>
      <c r="U189" s="112"/>
      <c r="V189" s="125"/>
      <c r="W189" s="96" t="s">
        <v>392</v>
      </c>
      <c r="X189" s="114">
        <v>50</v>
      </c>
      <c r="Y189" s="98"/>
      <c r="Z189" s="98"/>
      <c r="AA189" s="99"/>
      <c r="AB189" s="97"/>
      <c r="AC189" s="212"/>
      <c r="AD189" s="212"/>
      <c r="AE189" s="228"/>
      <c r="AF189" s="130"/>
      <c r="AG189" s="130"/>
      <c r="AH189" s="130"/>
      <c r="AI189" s="130"/>
      <c r="AJ189" s="130"/>
      <c r="AK189" s="130"/>
      <c r="AL189" s="130"/>
      <c r="AM189" s="130"/>
      <c r="AN189" s="130"/>
      <c r="AO189" s="130"/>
      <c r="AP189" s="130"/>
      <c r="AQ189" s="130"/>
      <c r="AR189" s="130"/>
      <c r="AS189" s="130"/>
      <c r="AT189" s="130"/>
      <c r="AU189" s="130"/>
      <c r="AV189" s="130"/>
      <c r="AW189" s="130"/>
      <c r="AX189" s="130"/>
      <c r="AY189" s="130"/>
      <c r="AZ189" s="130"/>
      <c r="BA189" s="130"/>
      <c r="BB189" s="130"/>
      <c r="BC189" s="130"/>
      <c r="BD189" s="130"/>
      <c r="BE189" s="130"/>
      <c r="BF189" s="130"/>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c r="CL189" s="130"/>
      <c r="CM189" s="130"/>
      <c r="CN189" s="130"/>
      <c r="CO189" s="130"/>
      <c r="CP189" s="130"/>
      <c r="CQ189" s="130"/>
      <c r="CR189" s="130"/>
      <c r="CS189" s="130"/>
      <c r="CT189" s="130"/>
      <c r="CU189" s="130"/>
      <c r="CV189" s="130"/>
      <c r="CW189" s="130"/>
      <c r="CX189" s="130"/>
      <c r="CY189" s="130"/>
      <c r="CZ189" s="130"/>
      <c r="DA189" s="130"/>
      <c r="DB189" s="130"/>
      <c r="DC189" s="130"/>
      <c r="DD189" s="130"/>
      <c r="DE189" s="130"/>
      <c r="DF189" s="130"/>
      <c r="DG189" s="130"/>
      <c r="DH189" s="130"/>
      <c r="DI189" s="130"/>
      <c r="DJ189" s="130"/>
      <c r="DK189" s="130"/>
      <c r="DL189" s="130"/>
      <c r="DM189" s="130"/>
      <c r="DN189" s="130"/>
      <c r="DO189" s="130"/>
      <c r="DP189" s="130"/>
      <c r="DQ189" s="130"/>
      <c r="DR189" s="130"/>
      <c r="DS189" s="130"/>
      <c r="DT189" s="130"/>
      <c r="DU189" s="130"/>
      <c r="DV189" s="130"/>
      <c r="DW189" s="130"/>
      <c r="DX189" s="130"/>
      <c r="DY189" s="130"/>
      <c r="DZ189" s="130"/>
      <c r="EA189" s="130"/>
      <c r="EB189" s="130"/>
      <c r="EC189" s="130"/>
      <c r="ED189" s="130"/>
      <c r="EE189" s="130"/>
      <c r="EF189" s="130"/>
      <c r="EG189" s="130"/>
      <c r="EH189" s="130"/>
      <c r="EI189" s="130"/>
      <c r="EJ189" s="130"/>
      <c r="EK189" s="130"/>
      <c r="EL189" s="130"/>
      <c r="EM189" s="130"/>
      <c r="EN189" s="130"/>
      <c r="EO189" s="130"/>
      <c r="EP189" s="130"/>
      <c r="EQ189" s="130"/>
      <c r="ER189" s="130"/>
      <c r="ES189" s="130"/>
      <c r="ET189" s="130"/>
      <c r="EU189" s="130"/>
      <c r="EV189" s="130"/>
      <c r="EW189" s="130"/>
      <c r="EX189" s="130"/>
      <c r="EY189" s="130"/>
      <c r="EZ189" s="130"/>
      <c r="FA189" s="130"/>
      <c r="FB189" s="130"/>
      <c r="FC189" s="130"/>
      <c r="FD189" s="130"/>
      <c r="FE189" s="130"/>
      <c r="FF189" s="130"/>
      <c r="FG189" s="130"/>
      <c r="FH189" s="130"/>
      <c r="FI189" s="130"/>
      <c r="FJ189" s="130"/>
      <c r="FK189" s="130"/>
      <c r="FL189" s="130"/>
      <c r="FM189" s="130"/>
      <c r="FN189" s="130"/>
      <c r="FO189" s="130"/>
      <c r="FP189" s="130"/>
      <c r="FQ189" s="130"/>
      <c r="FR189" s="130"/>
      <c r="FS189" s="130"/>
      <c r="FT189" s="130"/>
      <c r="FU189" s="130"/>
      <c r="FV189" s="130"/>
      <c r="FW189" s="130"/>
      <c r="FX189" s="130"/>
      <c r="FY189" s="130"/>
      <c r="FZ189" s="130"/>
      <c r="GA189" s="130"/>
      <c r="GB189" s="130"/>
      <c r="GC189" s="130"/>
      <c r="GD189" s="130"/>
      <c r="GE189" s="130"/>
      <c r="GF189" s="130"/>
      <c r="GG189" s="130"/>
      <c r="GH189" s="130"/>
      <c r="GI189" s="130"/>
      <c r="GJ189" s="130"/>
      <c r="GK189" s="130"/>
      <c r="GL189" s="130"/>
      <c r="GM189" s="130"/>
      <c r="GN189" s="130"/>
      <c r="GO189" s="130"/>
      <c r="GP189" s="130"/>
      <c r="GQ189" s="130"/>
      <c r="GR189" s="130"/>
      <c r="GS189" s="130"/>
      <c r="GT189" s="130"/>
      <c r="GU189" s="130"/>
      <c r="GV189" s="130"/>
      <c r="GW189" s="130"/>
      <c r="GX189" s="130"/>
      <c r="GY189" s="130"/>
      <c r="GZ189" s="130"/>
      <c r="HA189" s="130"/>
      <c r="HB189" s="130"/>
      <c r="HC189" s="130"/>
      <c r="HD189" s="130"/>
      <c r="HE189" s="130"/>
      <c r="HF189" s="130"/>
      <c r="HG189" s="130"/>
      <c r="HH189" s="130"/>
      <c r="HI189" s="130"/>
      <c r="HJ189" s="130"/>
      <c r="HK189" s="130"/>
      <c r="HL189" s="130"/>
      <c r="HM189" s="130"/>
      <c r="HN189" s="130"/>
      <c r="HO189" s="130"/>
      <c r="HP189" s="130"/>
      <c r="HQ189" s="130"/>
      <c r="HR189" s="130"/>
      <c r="HS189" s="130"/>
      <c r="HT189" s="130"/>
      <c r="HU189" s="130"/>
      <c r="HV189" s="130"/>
      <c r="HW189" s="130"/>
      <c r="HX189" s="130"/>
      <c r="HY189" s="130"/>
      <c r="HZ189" s="130"/>
      <c r="IA189" s="130"/>
      <c r="IB189" s="130"/>
      <c r="IC189" s="130"/>
      <c r="ID189" s="130"/>
      <c r="IE189" s="130"/>
      <c r="IF189" s="130"/>
      <c r="IG189" s="130"/>
      <c r="IH189" s="130"/>
      <c r="II189" s="130"/>
      <c r="IJ189" s="130"/>
      <c r="IK189" s="130"/>
      <c r="IL189" s="130"/>
      <c r="IM189" s="130"/>
      <c r="IN189" s="130"/>
      <c r="IO189" s="130"/>
      <c r="IP189" s="130"/>
      <c r="IQ189" s="130"/>
      <c r="IR189" s="130"/>
      <c r="IS189" s="130"/>
      <c r="IT189" s="130"/>
      <c r="IU189" s="130"/>
    </row>
    <row r="190" spans="1:255" s="123" customFormat="1" ht="23.25" customHeight="1">
      <c r="A190" s="216"/>
      <c r="B190" s="238"/>
      <c r="C190" s="217"/>
      <c r="D190" s="217"/>
      <c r="E190" s="218"/>
      <c r="F190" s="218"/>
      <c r="G190" s="220"/>
      <c r="H190" s="220"/>
      <c r="I190" s="220"/>
      <c r="J190" s="220"/>
      <c r="K190" s="124"/>
      <c r="L190" s="214"/>
      <c r="M190" s="215"/>
      <c r="N190" s="215"/>
      <c r="O190" s="215"/>
      <c r="P190" s="215"/>
      <c r="Q190" s="215"/>
      <c r="R190" s="215"/>
      <c r="S190" s="215"/>
      <c r="T190" s="104" t="s">
        <v>399</v>
      </c>
      <c r="U190" s="112"/>
      <c r="V190" s="125"/>
      <c r="W190" s="96" t="s">
        <v>392</v>
      </c>
      <c r="X190" s="114">
        <f>V187-X188</f>
        <v>21</v>
      </c>
      <c r="Y190" s="98">
        <v>150000</v>
      </c>
      <c r="Z190" s="98"/>
      <c r="AA190" s="99">
        <v>0.5</v>
      </c>
      <c r="AB190" s="97">
        <f t="shared" si="8"/>
        <v>1575000</v>
      </c>
      <c r="AC190" s="212"/>
      <c r="AD190" s="212"/>
      <c r="AE190" s="132"/>
      <c r="AF190" s="130"/>
      <c r="AG190" s="130"/>
      <c r="AH190" s="130"/>
      <c r="AI190" s="130"/>
      <c r="AJ190" s="130"/>
      <c r="AK190" s="130"/>
      <c r="AL190" s="130"/>
      <c r="AM190" s="130"/>
      <c r="AN190" s="130"/>
      <c r="AO190" s="130"/>
      <c r="AP190" s="130"/>
      <c r="AQ190" s="130"/>
      <c r="AR190" s="130"/>
      <c r="AS190" s="130"/>
      <c r="AT190" s="130"/>
      <c r="AU190" s="130"/>
      <c r="AV190" s="130"/>
      <c r="AW190" s="130"/>
      <c r="AX190" s="130"/>
      <c r="AY190" s="130"/>
      <c r="AZ190" s="130"/>
      <c r="BA190" s="130"/>
      <c r="BB190" s="130"/>
      <c r="BC190" s="130"/>
      <c r="BD190" s="130"/>
      <c r="BE190" s="130"/>
      <c r="BF190" s="130"/>
      <c r="BG190" s="130"/>
      <c r="BH190" s="130"/>
      <c r="BI190" s="130"/>
      <c r="BJ190" s="130"/>
      <c r="BK190" s="130"/>
      <c r="BL190" s="130"/>
      <c r="BM190" s="130"/>
      <c r="BN190" s="130"/>
      <c r="BO190" s="130"/>
      <c r="BP190" s="130"/>
      <c r="BQ190" s="130"/>
      <c r="BR190" s="130"/>
      <c r="BS190" s="130"/>
      <c r="BT190" s="130"/>
      <c r="BU190" s="130"/>
      <c r="BV190" s="130"/>
      <c r="BW190" s="130"/>
      <c r="BX190" s="130"/>
      <c r="BY190" s="130"/>
      <c r="BZ190" s="130"/>
      <c r="CA190" s="130"/>
      <c r="CB190" s="130"/>
      <c r="CC190" s="130"/>
      <c r="CD190" s="130"/>
      <c r="CE190" s="130"/>
      <c r="CF190" s="130"/>
      <c r="CG190" s="130"/>
      <c r="CH190" s="130"/>
      <c r="CI190" s="130"/>
      <c r="CJ190" s="130"/>
      <c r="CK190" s="130"/>
      <c r="CL190" s="130"/>
      <c r="CM190" s="130"/>
      <c r="CN190" s="130"/>
      <c r="CO190" s="130"/>
      <c r="CP190" s="130"/>
      <c r="CQ190" s="130"/>
      <c r="CR190" s="130"/>
      <c r="CS190" s="130"/>
      <c r="CT190" s="130"/>
      <c r="CU190" s="130"/>
      <c r="CV190" s="130"/>
      <c r="CW190" s="130"/>
      <c r="CX190" s="130"/>
      <c r="CY190" s="130"/>
      <c r="CZ190" s="130"/>
      <c r="DA190" s="130"/>
      <c r="DB190" s="130"/>
      <c r="DC190" s="130"/>
      <c r="DD190" s="130"/>
      <c r="DE190" s="130"/>
      <c r="DF190" s="130"/>
      <c r="DG190" s="130"/>
      <c r="DH190" s="130"/>
      <c r="DI190" s="130"/>
      <c r="DJ190" s="130"/>
      <c r="DK190" s="130"/>
      <c r="DL190" s="130"/>
      <c r="DM190" s="130"/>
      <c r="DN190" s="130"/>
      <c r="DO190" s="130"/>
      <c r="DP190" s="130"/>
      <c r="DQ190" s="130"/>
      <c r="DR190" s="130"/>
      <c r="DS190" s="130"/>
      <c r="DT190" s="130"/>
      <c r="DU190" s="130"/>
      <c r="DV190" s="130"/>
      <c r="DW190" s="130"/>
      <c r="DX190" s="130"/>
      <c r="DY190" s="130"/>
      <c r="DZ190" s="130"/>
      <c r="EA190" s="130"/>
      <c r="EB190" s="130"/>
      <c r="EC190" s="130"/>
      <c r="ED190" s="130"/>
      <c r="EE190" s="130"/>
      <c r="EF190" s="130"/>
      <c r="EG190" s="130"/>
      <c r="EH190" s="130"/>
      <c r="EI190" s="130"/>
      <c r="EJ190" s="130"/>
      <c r="EK190" s="130"/>
      <c r="EL190" s="130"/>
      <c r="EM190" s="130"/>
      <c r="EN190" s="130"/>
      <c r="EO190" s="130"/>
      <c r="EP190" s="130"/>
      <c r="EQ190" s="130"/>
      <c r="ER190" s="130"/>
      <c r="ES190" s="130"/>
      <c r="ET190" s="130"/>
      <c r="EU190" s="130"/>
      <c r="EV190" s="130"/>
      <c r="EW190" s="130"/>
      <c r="EX190" s="130"/>
      <c r="EY190" s="130"/>
      <c r="EZ190" s="130"/>
      <c r="FA190" s="130"/>
      <c r="FB190" s="130"/>
      <c r="FC190" s="130"/>
      <c r="FD190" s="130"/>
      <c r="FE190" s="130"/>
      <c r="FF190" s="130"/>
      <c r="FG190" s="130"/>
      <c r="FH190" s="130"/>
      <c r="FI190" s="130"/>
      <c r="FJ190" s="130"/>
      <c r="FK190" s="130"/>
      <c r="FL190" s="130"/>
      <c r="FM190" s="130"/>
      <c r="FN190" s="130"/>
      <c r="FO190" s="130"/>
      <c r="FP190" s="130"/>
      <c r="FQ190" s="130"/>
      <c r="FR190" s="130"/>
      <c r="FS190" s="130"/>
      <c r="FT190" s="130"/>
      <c r="FU190" s="130"/>
      <c r="FV190" s="130"/>
      <c r="FW190" s="130"/>
      <c r="FX190" s="130"/>
      <c r="FY190" s="130"/>
      <c r="FZ190" s="130"/>
      <c r="GA190" s="130"/>
      <c r="GB190" s="130"/>
      <c r="GC190" s="130"/>
      <c r="GD190" s="130"/>
      <c r="GE190" s="130"/>
      <c r="GF190" s="130"/>
      <c r="GG190" s="130"/>
      <c r="GH190" s="130"/>
      <c r="GI190" s="130"/>
      <c r="GJ190" s="130"/>
      <c r="GK190" s="130"/>
      <c r="GL190" s="130"/>
      <c r="GM190" s="130"/>
      <c r="GN190" s="130"/>
      <c r="GO190" s="130"/>
      <c r="GP190" s="130"/>
      <c r="GQ190" s="130"/>
      <c r="GR190" s="130"/>
      <c r="GS190" s="130"/>
      <c r="GT190" s="130"/>
      <c r="GU190" s="130"/>
      <c r="GV190" s="130"/>
      <c r="GW190" s="130"/>
      <c r="GX190" s="130"/>
      <c r="GY190" s="130"/>
      <c r="GZ190" s="130"/>
      <c r="HA190" s="130"/>
      <c r="HB190" s="130"/>
      <c r="HC190" s="130"/>
      <c r="HD190" s="130"/>
      <c r="HE190" s="130"/>
      <c r="HF190" s="130"/>
      <c r="HG190" s="130"/>
      <c r="HH190" s="130"/>
      <c r="HI190" s="130"/>
      <c r="HJ190" s="130"/>
      <c r="HK190" s="130"/>
      <c r="HL190" s="130"/>
      <c r="HM190" s="130"/>
      <c r="HN190" s="130"/>
      <c r="HO190" s="130"/>
      <c r="HP190" s="130"/>
      <c r="HQ190" s="130"/>
      <c r="HR190" s="130"/>
      <c r="HS190" s="130"/>
      <c r="HT190" s="130"/>
      <c r="HU190" s="130"/>
      <c r="HV190" s="130"/>
      <c r="HW190" s="130"/>
      <c r="HX190" s="130"/>
      <c r="HY190" s="130"/>
      <c r="HZ190" s="130"/>
      <c r="IA190" s="130"/>
      <c r="IB190" s="130"/>
      <c r="IC190" s="130"/>
      <c r="ID190" s="130"/>
      <c r="IE190" s="130"/>
      <c r="IF190" s="130"/>
      <c r="IG190" s="130"/>
      <c r="IH190" s="130"/>
      <c r="II190" s="130"/>
      <c r="IJ190" s="130"/>
      <c r="IK190" s="130"/>
      <c r="IL190" s="130"/>
      <c r="IM190" s="130"/>
      <c r="IN190" s="130"/>
      <c r="IO190" s="130"/>
      <c r="IP190" s="130"/>
      <c r="IQ190" s="130"/>
      <c r="IR190" s="130"/>
      <c r="IS190" s="130"/>
      <c r="IT190" s="130"/>
      <c r="IU190" s="130"/>
    </row>
    <row r="191" spans="1:255" s="123" customFormat="1" ht="23.25" customHeight="1">
      <c r="A191" s="216"/>
      <c r="B191" s="238"/>
      <c r="C191" s="217"/>
      <c r="D191" s="217"/>
      <c r="E191" s="218"/>
      <c r="F191" s="218"/>
      <c r="G191" s="220"/>
      <c r="H191" s="220"/>
      <c r="I191" s="220"/>
      <c r="J191" s="220"/>
      <c r="K191" s="124"/>
      <c r="L191" s="214"/>
      <c r="M191" s="215"/>
      <c r="N191" s="215"/>
      <c r="O191" s="215"/>
      <c r="P191" s="215"/>
      <c r="Q191" s="215"/>
      <c r="R191" s="215"/>
      <c r="S191" s="215"/>
      <c r="T191" s="104" t="s">
        <v>417</v>
      </c>
      <c r="U191" s="112"/>
      <c r="V191" s="125"/>
      <c r="W191" s="96" t="s">
        <v>392</v>
      </c>
      <c r="X191" s="114">
        <f>X189-X190</f>
        <v>29</v>
      </c>
      <c r="Y191" s="98">
        <v>150000</v>
      </c>
      <c r="Z191" s="98"/>
      <c r="AA191" s="99">
        <v>0</v>
      </c>
      <c r="AB191" s="97">
        <f t="shared" si="8"/>
        <v>0</v>
      </c>
      <c r="AC191" s="212"/>
      <c r="AD191" s="212"/>
      <c r="AE191" s="130"/>
      <c r="AF191" s="130"/>
      <c r="AG191" s="130"/>
      <c r="AH191" s="130"/>
      <c r="AI191" s="130"/>
      <c r="AJ191" s="130"/>
      <c r="AK191" s="130"/>
      <c r="AL191" s="130"/>
      <c r="AM191" s="130"/>
      <c r="AN191" s="130"/>
      <c r="AO191" s="130"/>
      <c r="AP191" s="130"/>
      <c r="AQ191" s="130"/>
      <c r="AR191" s="130"/>
      <c r="AS191" s="130"/>
      <c r="AT191" s="130"/>
      <c r="AU191" s="130"/>
      <c r="AV191" s="130"/>
      <c r="AW191" s="130"/>
      <c r="AX191" s="130"/>
      <c r="AY191" s="130"/>
      <c r="AZ191" s="130"/>
      <c r="BA191" s="130"/>
      <c r="BB191" s="130"/>
      <c r="BC191" s="130"/>
      <c r="BD191" s="130"/>
      <c r="BE191" s="130"/>
      <c r="BF191" s="130"/>
      <c r="BG191" s="130"/>
      <c r="BH191" s="130"/>
      <c r="BI191" s="130"/>
      <c r="BJ191" s="130"/>
      <c r="BK191" s="130"/>
      <c r="BL191" s="130"/>
      <c r="BM191" s="130"/>
      <c r="BN191" s="130"/>
      <c r="BO191" s="130"/>
      <c r="BP191" s="130"/>
      <c r="BQ191" s="130"/>
      <c r="BR191" s="130"/>
      <c r="BS191" s="130"/>
      <c r="BT191" s="130"/>
      <c r="BU191" s="130"/>
      <c r="BV191" s="130"/>
      <c r="BW191" s="130"/>
      <c r="BX191" s="130"/>
      <c r="BY191" s="130"/>
      <c r="BZ191" s="130"/>
      <c r="CA191" s="130"/>
      <c r="CB191" s="130"/>
      <c r="CC191" s="130"/>
      <c r="CD191" s="130"/>
      <c r="CE191" s="130"/>
      <c r="CF191" s="130"/>
      <c r="CG191" s="130"/>
      <c r="CH191" s="130"/>
      <c r="CI191" s="130"/>
      <c r="CJ191" s="130"/>
      <c r="CK191" s="130"/>
      <c r="CL191" s="130"/>
      <c r="CM191" s="130"/>
      <c r="CN191" s="130"/>
      <c r="CO191" s="130"/>
      <c r="CP191" s="130"/>
      <c r="CQ191" s="130"/>
      <c r="CR191" s="130"/>
      <c r="CS191" s="130"/>
      <c r="CT191" s="130"/>
      <c r="CU191" s="130"/>
      <c r="CV191" s="130"/>
      <c r="CW191" s="130"/>
      <c r="CX191" s="130"/>
      <c r="CY191" s="130"/>
      <c r="CZ191" s="130"/>
      <c r="DA191" s="130"/>
      <c r="DB191" s="130"/>
      <c r="DC191" s="130"/>
      <c r="DD191" s="130"/>
      <c r="DE191" s="130"/>
      <c r="DF191" s="130"/>
      <c r="DG191" s="130"/>
      <c r="DH191" s="130"/>
      <c r="DI191" s="130"/>
      <c r="DJ191" s="130"/>
      <c r="DK191" s="130"/>
      <c r="DL191" s="130"/>
      <c r="DM191" s="130"/>
      <c r="DN191" s="130"/>
      <c r="DO191" s="130"/>
      <c r="DP191" s="130"/>
      <c r="DQ191" s="130"/>
      <c r="DR191" s="130"/>
      <c r="DS191" s="130"/>
      <c r="DT191" s="130"/>
      <c r="DU191" s="130"/>
      <c r="DV191" s="130"/>
      <c r="DW191" s="130"/>
      <c r="DX191" s="130"/>
      <c r="DY191" s="130"/>
      <c r="DZ191" s="130"/>
      <c r="EA191" s="130"/>
      <c r="EB191" s="130"/>
      <c r="EC191" s="130"/>
      <c r="ED191" s="130"/>
      <c r="EE191" s="130"/>
      <c r="EF191" s="130"/>
      <c r="EG191" s="130"/>
      <c r="EH191" s="130"/>
      <c r="EI191" s="130"/>
      <c r="EJ191" s="130"/>
      <c r="EK191" s="130"/>
      <c r="EL191" s="130"/>
      <c r="EM191" s="130"/>
      <c r="EN191" s="130"/>
      <c r="EO191" s="130"/>
      <c r="EP191" s="130"/>
      <c r="EQ191" s="130"/>
      <c r="ER191" s="130"/>
      <c r="ES191" s="130"/>
      <c r="ET191" s="130"/>
      <c r="EU191" s="130"/>
      <c r="EV191" s="130"/>
      <c r="EW191" s="130"/>
      <c r="EX191" s="130"/>
      <c r="EY191" s="130"/>
      <c r="EZ191" s="130"/>
      <c r="FA191" s="130"/>
      <c r="FB191" s="130"/>
      <c r="FC191" s="130"/>
      <c r="FD191" s="130"/>
      <c r="FE191" s="130"/>
      <c r="FF191" s="130"/>
      <c r="FG191" s="130"/>
      <c r="FH191" s="130"/>
      <c r="FI191" s="130"/>
      <c r="FJ191" s="130"/>
      <c r="FK191" s="130"/>
      <c r="FL191" s="130"/>
      <c r="FM191" s="130"/>
      <c r="FN191" s="130"/>
      <c r="FO191" s="130"/>
      <c r="FP191" s="130"/>
      <c r="FQ191" s="130"/>
      <c r="FR191" s="130"/>
      <c r="FS191" s="130"/>
      <c r="FT191" s="130"/>
      <c r="FU191" s="130"/>
      <c r="FV191" s="130"/>
      <c r="FW191" s="130"/>
      <c r="FX191" s="130"/>
      <c r="FY191" s="130"/>
      <c r="FZ191" s="130"/>
      <c r="GA191" s="130"/>
      <c r="GB191" s="130"/>
      <c r="GC191" s="130"/>
      <c r="GD191" s="130"/>
      <c r="GE191" s="130"/>
      <c r="GF191" s="130"/>
      <c r="GG191" s="130"/>
      <c r="GH191" s="130"/>
      <c r="GI191" s="130"/>
      <c r="GJ191" s="130"/>
      <c r="GK191" s="130"/>
      <c r="GL191" s="130"/>
      <c r="GM191" s="130"/>
      <c r="GN191" s="130"/>
      <c r="GO191" s="130"/>
      <c r="GP191" s="130"/>
      <c r="GQ191" s="130"/>
      <c r="GR191" s="130"/>
      <c r="GS191" s="130"/>
      <c r="GT191" s="130"/>
      <c r="GU191" s="130"/>
      <c r="GV191" s="130"/>
      <c r="GW191" s="130"/>
      <c r="GX191" s="130"/>
      <c r="GY191" s="130"/>
      <c r="GZ191" s="130"/>
      <c r="HA191" s="130"/>
      <c r="HB191" s="130"/>
      <c r="HC191" s="130"/>
      <c r="HD191" s="130"/>
      <c r="HE191" s="130"/>
      <c r="HF191" s="130"/>
      <c r="HG191" s="130"/>
      <c r="HH191" s="130"/>
      <c r="HI191" s="130"/>
      <c r="HJ191" s="130"/>
      <c r="HK191" s="130"/>
      <c r="HL191" s="130"/>
      <c r="HM191" s="130"/>
      <c r="HN191" s="130"/>
      <c r="HO191" s="130"/>
      <c r="HP191" s="130"/>
      <c r="HQ191" s="130"/>
      <c r="HR191" s="130"/>
      <c r="HS191" s="130"/>
      <c r="HT191" s="130"/>
      <c r="HU191" s="130"/>
      <c r="HV191" s="130"/>
      <c r="HW191" s="130"/>
      <c r="HX191" s="130"/>
      <c r="HY191" s="130"/>
      <c r="HZ191" s="130"/>
      <c r="IA191" s="130"/>
      <c r="IB191" s="130"/>
      <c r="IC191" s="130"/>
      <c r="ID191" s="130"/>
      <c r="IE191" s="130"/>
      <c r="IF191" s="130"/>
      <c r="IG191" s="130"/>
      <c r="IH191" s="130"/>
      <c r="II191" s="130"/>
      <c r="IJ191" s="130"/>
      <c r="IK191" s="130"/>
      <c r="IL191" s="130"/>
      <c r="IM191" s="130"/>
      <c r="IN191" s="130"/>
      <c r="IO191" s="130"/>
      <c r="IP191" s="130"/>
      <c r="IQ191" s="130"/>
      <c r="IR191" s="130"/>
      <c r="IS191" s="130"/>
      <c r="IT191" s="130"/>
      <c r="IU191" s="130"/>
    </row>
    <row r="192" spans="1:255" s="42" customFormat="1" ht="38.25" customHeight="1">
      <c r="A192" s="229">
        <v>16</v>
      </c>
      <c r="B192" s="230" t="s">
        <v>601</v>
      </c>
      <c r="C192" s="60">
        <v>62</v>
      </c>
      <c r="D192" s="60">
        <v>488</v>
      </c>
      <c r="E192" s="58">
        <v>623</v>
      </c>
      <c r="F192" s="58" t="s">
        <v>26</v>
      </c>
      <c r="G192" s="52">
        <v>612</v>
      </c>
      <c r="H192" s="52">
        <f>E192-G192</f>
        <v>11</v>
      </c>
      <c r="I192" s="232">
        <f>G192+G193</f>
        <v>1868</v>
      </c>
      <c r="J192" s="232">
        <f>I192+I193</f>
        <v>1868</v>
      </c>
      <c r="K192" s="33"/>
      <c r="L192" s="233">
        <f>(I192+I193)/J192*100</f>
        <v>100</v>
      </c>
      <c r="M192" s="234">
        <f>IF(L192&lt;10,2,IF(L192&lt;20,3,IF(L192&lt;30,5,IF(L192&gt;=70,12,IF(L192&gt;=30,6)))))</f>
        <v>12</v>
      </c>
      <c r="N192" s="234">
        <v>2</v>
      </c>
      <c r="O192" s="234">
        <f>$O$6</f>
        <v>80000</v>
      </c>
      <c r="P192" s="234">
        <f>(I192+I193)*O192</f>
        <v>149440000</v>
      </c>
      <c r="Q192" s="234">
        <f>$Q$6*(I192+I193)</f>
        <v>448320000</v>
      </c>
      <c r="R192" s="234">
        <f>M192*N192*$R$6</f>
        <v>12240000</v>
      </c>
      <c r="S192" s="234">
        <f>R192+Q192+P192</f>
        <v>610000000</v>
      </c>
      <c r="T192" s="43" t="s">
        <v>410</v>
      </c>
      <c r="U192" s="44">
        <v>25</v>
      </c>
      <c r="V192" s="52">
        <f>(I192-30)/U192</f>
        <v>73.52</v>
      </c>
      <c r="W192" s="36" t="str">
        <f>'[1]bang gia'!$C$46</f>
        <v>đồng/cây</v>
      </c>
      <c r="X192" s="36">
        <v>51</v>
      </c>
      <c r="Y192" s="45"/>
      <c r="Z192" s="33"/>
      <c r="AA192" s="39"/>
      <c r="AB192" s="40"/>
      <c r="AC192" s="235">
        <f>SUM(AB192:AB204)</f>
        <v>294250000</v>
      </c>
      <c r="AD192" s="235">
        <f>AC192+S192</f>
        <v>904250000</v>
      </c>
      <c r="AE192" s="236" t="s">
        <v>590</v>
      </c>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1"/>
      <c r="EY192" s="41"/>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1"/>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1"/>
      <c r="HM192" s="41"/>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1"/>
      <c r="IP192" s="41"/>
      <c r="IQ192" s="41"/>
      <c r="IR192" s="41"/>
      <c r="IS192" s="41"/>
      <c r="IT192" s="41"/>
      <c r="IU192" s="41"/>
    </row>
    <row r="193" spans="1:255" s="42" customFormat="1" ht="23.25" customHeight="1">
      <c r="A193" s="229"/>
      <c r="B193" s="231"/>
      <c r="C193" s="60">
        <v>62</v>
      </c>
      <c r="D193" s="60">
        <v>554</v>
      </c>
      <c r="E193" s="58">
        <v>1618.4</v>
      </c>
      <c r="F193" s="58" t="s">
        <v>26</v>
      </c>
      <c r="G193" s="52">
        <v>1256</v>
      </c>
      <c r="H193" s="52">
        <f>E193-G193</f>
        <v>362.40000000000009</v>
      </c>
      <c r="I193" s="232"/>
      <c r="J193" s="232"/>
      <c r="K193" s="33"/>
      <c r="L193" s="233"/>
      <c r="M193" s="234"/>
      <c r="N193" s="234"/>
      <c r="O193" s="234"/>
      <c r="P193" s="234"/>
      <c r="Q193" s="234"/>
      <c r="R193" s="234"/>
      <c r="S193" s="234"/>
      <c r="T193" s="57" t="s">
        <v>399</v>
      </c>
      <c r="U193" s="44"/>
      <c r="V193" s="36"/>
      <c r="W193" s="36" t="str">
        <f>'[1]bang gia'!$C$46</f>
        <v>đồng/cây</v>
      </c>
      <c r="X193" s="36">
        <v>51</v>
      </c>
      <c r="Y193" s="45">
        <v>4500000</v>
      </c>
      <c r="Z193" s="33"/>
      <c r="AA193" s="39">
        <v>1</v>
      </c>
      <c r="AB193" s="40">
        <f t="shared" ref="AB193:AB198" si="9">X193*Y193*AA193</f>
        <v>229500000</v>
      </c>
      <c r="AC193" s="235"/>
      <c r="AD193" s="235"/>
      <c r="AE193" s="237"/>
    </row>
    <row r="194" spans="1:255" s="42" customFormat="1" ht="40.5" customHeight="1">
      <c r="A194" s="229"/>
      <c r="B194" s="231"/>
      <c r="C194" s="66"/>
      <c r="D194" s="66"/>
      <c r="E194" s="67"/>
      <c r="F194" s="67"/>
      <c r="G194" s="68"/>
      <c r="H194" s="68"/>
      <c r="I194" s="232"/>
      <c r="J194" s="232"/>
      <c r="K194" s="33"/>
      <c r="L194" s="233"/>
      <c r="M194" s="234"/>
      <c r="N194" s="234"/>
      <c r="O194" s="234"/>
      <c r="P194" s="234"/>
      <c r="Q194" s="234"/>
      <c r="R194" s="234"/>
      <c r="S194" s="234"/>
      <c r="T194" s="43" t="s">
        <v>602</v>
      </c>
      <c r="U194" s="44">
        <v>20</v>
      </c>
      <c r="V194" s="52">
        <f>(I192-30)/U194</f>
        <v>91.9</v>
      </c>
      <c r="W194" s="36" t="str">
        <f>'[1]bang gia'!$C$46</f>
        <v>đồng/cây</v>
      </c>
      <c r="X194" s="36">
        <v>30</v>
      </c>
      <c r="Y194" s="45"/>
      <c r="Z194" s="33"/>
      <c r="AA194" s="51"/>
      <c r="AB194" s="40"/>
      <c r="AC194" s="235"/>
      <c r="AD194" s="235"/>
      <c r="AE194" s="237"/>
    </row>
    <row r="195" spans="1:255" s="42" customFormat="1" ht="27" customHeight="1">
      <c r="A195" s="229"/>
      <c r="B195" s="231"/>
      <c r="C195" s="66"/>
      <c r="D195" s="66"/>
      <c r="E195" s="67"/>
      <c r="F195" s="67"/>
      <c r="G195" s="68"/>
      <c r="H195" s="68"/>
      <c r="I195" s="232"/>
      <c r="J195" s="232"/>
      <c r="K195" s="33"/>
      <c r="L195" s="233"/>
      <c r="M195" s="234"/>
      <c r="N195" s="234"/>
      <c r="O195" s="234"/>
      <c r="P195" s="234"/>
      <c r="Q195" s="234"/>
      <c r="R195" s="234"/>
      <c r="S195" s="234"/>
      <c r="T195" s="57" t="s">
        <v>399</v>
      </c>
      <c r="U195" s="36"/>
      <c r="V195" s="36"/>
      <c r="W195" s="36" t="str">
        <f>'[1]bang gia'!$C$46</f>
        <v>đồng/cây</v>
      </c>
      <c r="X195" s="36">
        <v>30</v>
      </c>
      <c r="Y195" s="45">
        <v>3000000</v>
      </c>
      <c r="Z195" s="33"/>
      <c r="AA195" s="51">
        <v>0.5</v>
      </c>
      <c r="AB195" s="40">
        <f t="shared" si="9"/>
        <v>45000000</v>
      </c>
      <c r="AC195" s="235"/>
      <c r="AD195" s="235"/>
    </row>
    <row r="196" spans="1:255" s="42" customFormat="1" ht="21.75" customHeight="1">
      <c r="A196" s="229"/>
      <c r="B196" s="231"/>
      <c r="C196" s="69"/>
      <c r="D196" s="69"/>
      <c r="E196" s="69"/>
      <c r="F196" s="69"/>
      <c r="G196" s="69"/>
      <c r="H196" s="69"/>
      <c r="I196" s="232"/>
      <c r="J196" s="232"/>
      <c r="K196" s="33"/>
      <c r="L196" s="233"/>
      <c r="M196" s="234"/>
      <c r="N196" s="234"/>
      <c r="O196" s="234"/>
      <c r="P196" s="234"/>
      <c r="Q196" s="234"/>
      <c r="R196" s="234"/>
      <c r="S196" s="234"/>
      <c r="T196" s="49" t="s">
        <v>603</v>
      </c>
      <c r="U196" s="35">
        <v>10</v>
      </c>
      <c r="V196" s="52">
        <f>(I192-30)/U196</f>
        <v>183.8</v>
      </c>
      <c r="W196" s="36" t="str">
        <f>'[1]bang gia'!$C$46</f>
        <v>đồng/cây</v>
      </c>
      <c r="X196" s="38">
        <v>50</v>
      </c>
      <c r="Y196" s="45"/>
      <c r="Z196" s="33"/>
      <c r="AA196" s="51"/>
      <c r="AB196" s="40"/>
      <c r="AC196" s="235"/>
      <c r="AD196" s="235"/>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41"/>
      <c r="EY196" s="41"/>
      <c r="EZ196" s="41"/>
      <c r="FA196" s="41"/>
      <c r="FB196" s="41"/>
      <c r="FC196" s="41"/>
      <c r="FD196" s="41"/>
      <c r="FE196" s="41"/>
      <c r="FF196" s="41"/>
      <c r="FG196" s="41"/>
      <c r="FH196" s="41"/>
      <c r="FI196" s="41"/>
      <c r="FJ196" s="41"/>
      <c r="FK196" s="41"/>
      <c r="FL196" s="41"/>
      <c r="FM196" s="41"/>
      <c r="FN196" s="41"/>
      <c r="FO196" s="41"/>
      <c r="FP196" s="41"/>
      <c r="FQ196" s="41"/>
      <c r="FR196" s="41"/>
      <c r="FS196" s="41"/>
      <c r="FT196" s="41"/>
      <c r="FU196" s="41"/>
      <c r="FV196" s="41"/>
      <c r="FW196" s="41"/>
      <c r="FX196" s="41"/>
      <c r="FY196" s="41"/>
      <c r="FZ196" s="41"/>
      <c r="GA196" s="41"/>
      <c r="GB196" s="41"/>
      <c r="GC196" s="41"/>
      <c r="GD196" s="41"/>
      <c r="GE196" s="41"/>
      <c r="GF196" s="41"/>
      <c r="GG196" s="41"/>
      <c r="GH196" s="41"/>
      <c r="GI196" s="41"/>
      <c r="GJ196" s="41"/>
      <c r="GK196" s="41"/>
      <c r="GL196" s="41"/>
      <c r="GM196" s="41"/>
      <c r="GN196" s="41"/>
      <c r="GO196" s="41"/>
      <c r="GP196" s="41"/>
      <c r="GQ196" s="41"/>
      <c r="GR196" s="41"/>
      <c r="GS196" s="41"/>
      <c r="GT196" s="41"/>
      <c r="GU196" s="41"/>
      <c r="GV196" s="41"/>
      <c r="GW196" s="41"/>
      <c r="GX196" s="41"/>
      <c r="GY196" s="41"/>
      <c r="GZ196" s="41"/>
      <c r="HA196" s="41"/>
      <c r="HB196" s="41"/>
      <c r="HC196" s="41"/>
      <c r="HD196" s="41"/>
      <c r="HE196" s="41"/>
      <c r="HF196" s="41"/>
      <c r="HG196" s="41"/>
      <c r="HH196" s="41"/>
      <c r="HI196" s="41"/>
      <c r="HJ196" s="41"/>
      <c r="HK196" s="41"/>
      <c r="HL196" s="41"/>
      <c r="HM196" s="41"/>
      <c r="HN196" s="41"/>
      <c r="HO196" s="41"/>
      <c r="HP196" s="41"/>
      <c r="HQ196" s="41"/>
      <c r="HR196" s="41"/>
      <c r="HS196" s="41"/>
      <c r="HT196" s="41"/>
      <c r="HU196" s="41"/>
      <c r="HV196" s="41"/>
      <c r="HW196" s="41"/>
      <c r="HX196" s="41"/>
      <c r="HY196" s="41"/>
      <c r="HZ196" s="41"/>
      <c r="IA196" s="41"/>
      <c r="IB196" s="41"/>
      <c r="IC196" s="41"/>
      <c r="ID196" s="41"/>
      <c r="IE196" s="41"/>
      <c r="IF196" s="41"/>
      <c r="IG196" s="41"/>
      <c r="IH196" s="41"/>
      <c r="II196" s="41"/>
      <c r="IJ196" s="41"/>
      <c r="IK196" s="41"/>
      <c r="IL196" s="41"/>
      <c r="IM196" s="41"/>
      <c r="IN196" s="41"/>
      <c r="IO196" s="41"/>
      <c r="IP196" s="41"/>
      <c r="IQ196" s="41"/>
      <c r="IR196" s="41"/>
      <c r="IS196" s="41"/>
      <c r="IT196" s="41"/>
      <c r="IU196" s="41"/>
    </row>
    <row r="197" spans="1:255" s="42" customFormat="1" ht="27" customHeight="1">
      <c r="A197" s="229"/>
      <c r="B197" s="231"/>
      <c r="C197" s="66"/>
      <c r="D197" s="66"/>
      <c r="E197" s="67"/>
      <c r="F197" s="67"/>
      <c r="G197" s="68"/>
      <c r="H197" s="68"/>
      <c r="I197" s="232"/>
      <c r="J197" s="232"/>
      <c r="K197" s="33"/>
      <c r="L197" s="233"/>
      <c r="M197" s="234"/>
      <c r="N197" s="234"/>
      <c r="O197" s="234"/>
      <c r="P197" s="234"/>
      <c r="Q197" s="234"/>
      <c r="R197" s="234"/>
      <c r="S197" s="234"/>
      <c r="T197" s="57" t="s">
        <v>399</v>
      </c>
      <c r="U197" s="35"/>
      <c r="V197" s="36"/>
      <c r="W197" s="36" t="str">
        <f>'[1]bang gia'!$C$46</f>
        <v>đồng/cây</v>
      </c>
      <c r="X197" s="38">
        <v>50</v>
      </c>
      <c r="Y197" s="45">
        <v>240000</v>
      </c>
      <c r="Z197" s="33"/>
      <c r="AA197" s="51">
        <v>0.5</v>
      </c>
      <c r="AB197" s="40">
        <f t="shared" si="9"/>
        <v>6000000</v>
      </c>
      <c r="AC197" s="235"/>
      <c r="AD197" s="235"/>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c r="DK197" s="41"/>
      <c r="DL197" s="41"/>
      <c r="DM197" s="41"/>
      <c r="DN197" s="41"/>
      <c r="DO197" s="41"/>
      <c r="DP197" s="41"/>
      <c r="DQ197" s="41"/>
      <c r="DR197" s="41"/>
      <c r="DS197" s="41"/>
      <c r="DT197" s="41"/>
      <c r="DU197" s="41"/>
      <c r="DV197" s="41"/>
      <c r="DW197" s="41"/>
      <c r="DX197" s="41"/>
      <c r="DY197" s="41"/>
      <c r="DZ197" s="41"/>
      <c r="EA197" s="41"/>
      <c r="EB197" s="41"/>
      <c r="EC197" s="41"/>
      <c r="ED197" s="41"/>
      <c r="EE197" s="41"/>
      <c r="EF197" s="41"/>
      <c r="EG197" s="41"/>
      <c r="EH197" s="41"/>
      <c r="EI197" s="41"/>
      <c r="EJ197" s="41"/>
      <c r="EK197" s="41"/>
      <c r="EL197" s="41"/>
      <c r="EM197" s="41"/>
      <c r="EN197" s="41"/>
      <c r="EO197" s="41"/>
      <c r="EP197" s="41"/>
      <c r="EQ197" s="41"/>
      <c r="ER197" s="41"/>
      <c r="ES197" s="41"/>
      <c r="ET197" s="41"/>
      <c r="EU197" s="41"/>
      <c r="EV197" s="41"/>
      <c r="EW197" s="41"/>
      <c r="EX197" s="41"/>
      <c r="EY197" s="41"/>
      <c r="EZ197" s="41"/>
      <c r="FA197" s="41"/>
      <c r="FB197" s="41"/>
      <c r="FC197" s="41"/>
      <c r="FD197" s="41"/>
      <c r="FE197" s="41"/>
      <c r="FF197" s="41"/>
      <c r="FG197" s="41"/>
      <c r="FH197" s="41"/>
      <c r="FI197" s="41"/>
      <c r="FJ197" s="41"/>
      <c r="FK197" s="41"/>
      <c r="FL197" s="41"/>
      <c r="FM197" s="41"/>
      <c r="FN197" s="41"/>
      <c r="FO197" s="41"/>
      <c r="FP197" s="41"/>
      <c r="FQ197" s="41"/>
      <c r="FR197" s="41"/>
      <c r="FS197" s="41"/>
      <c r="FT197" s="41"/>
      <c r="FU197" s="41"/>
      <c r="FV197" s="41"/>
      <c r="FW197" s="41"/>
      <c r="FX197" s="41"/>
      <c r="FY197" s="41"/>
      <c r="FZ197" s="41"/>
      <c r="GA197" s="41"/>
      <c r="GB197" s="41"/>
      <c r="GC197" s="41"/>
      <c r="GD197" s="41"/>
      <c r="GE197" s="41"/>
      <c r="GF197" s="41"/>
      <c r="GG197" s="41"/>
      <c r="GH197" s="41"/>
      <c r="GI197" s="41"/>
      <c r="GJ197" s="41"/>
      <c r="GK197" s="41"/>
      <c r="GL197" s="41"/>
      <c r="GM197" s="41"/>
      <c r="GN197" s="41"/>
      <c r="GO197" s="41"/>
      <c r="GP197" s="41"/>
      <c r="GQ197" s="41"/>
      <c r="GR197" s="41"/>
      <c r="GS197" s="41"/>
      <c r="GT197" s="41"/>
      <c r="GU197" s="41"/>
      <c r="GV197" s="41"/>
      <c r="GW197" s="41"/>
      <c r="GX197" s="41"/>
      <c r="GY197" s="41"/>
      <c r="GZ197" s="41"/>
      <c r="HA197" s="41"/>
      <c r="HB197" s="41"/>
      <c r="HC197" s="41"/>
      <c r="HD197" s="41"/>
      <c r="HE197" s="41"/>
      <c r="HF197" s="41"/>
      <c r="HG197" s="41"/>
      <c r="HH197" s="41"/>
      <c r="HI197" s="41"/>
      <c r="HJ197" s="41"/>
      <c r="HK197" s="41"/>
      <c r="HL197" s="41"/>
      <c r="HM197" s="41"/>
      <c r="HN197" s="41"/>
      <c r="HO197" s="41"/>
      <c r="HP197" s="41"/>
      <c r="HQ197" s="41"/>
      <c r="HR197" s="41"/>
      <c r="HS197" s="41"/>
      <c r="HT197" s="41"/>
      <c r="HU197" s="41"/>
      <c r="HV197" s="41"/>
      <c r="HW197" s="41"/>
      <c r="HX197" s="41"/>
      <c r="HY197" s="41"/>
      <c r="HZ197" s="41"/>
      <c r="IA197" s="41"/>
      <c r="IB197" s="41"/>
      <c r="IC197" s="41"/>
      <c r="ID197" s="41"/>
      <c r="IE197" s="41"/>
      <c r="IF197" s="41"/>
      <c r="IG197" s="41"/>
      <c r="IH197" s="41"/>
      <c r="II197" s="41"/>
      <c r="IJ197" s="41"/>
      <c r="IK197" s="41"/>
      <c r="IL197" s="41"/>
      <c r="IM197" s="41"/>
      <c r="IN197" s="41"/>
      <c r="IO197" s="41"/>
      <c r="IP197" s="41"/>
      <c r="IQ197" s="41"/>
      <c r="IR197" s="41"/>
      <c r="IS197" s="41"/>
      <c r="IT197" s="41"/>
      <c r="IU197" s="41"/>
    </row>
    <row r="198" spans="1:255" s="42" customFormat="1" ht="27" customHeight="1">
      <c r="A198" s="229"/>
      <c r="B198" s="231"/>
      <c r="C198" s="66"/>
      <c r="D198" s="66"/>
      <c r="E198" s="67"/>
      <c r="F198" s="67"/>
      <c r="G198" s="68"/>
      <c r="H198" s="68"/>
      <c r="I198" s="232"/>
      <c r="J198" s="232"/>
      <c r="K198" s="33"/>
      <c r="L198" s="233"/>
      <c r="M198" s="234"/>
      <c r="N198" s="234"/>
      <c r="O198" s="234"/>
      <c r="P198" s="234"/>
      <c r="Q198" s="234"/>
      <c r="R198" s="234"/>
      <c r="S198" s="234"/>
      <c r="T198" s="33" t="s">
        <v>604</v>
      </c>
      <c r="U198" s="36"/>
      <c r="V198" s="36"/>
      <c r="W198" s="37" t="s">
        <v>0</v>
      </c>
      <c r="X198" s="38">
        <v>1100</v>
      </c>
      <c r="Y198" s="45">
        <v>12500</v>
      </c>
      <c r="Z198" s="33"/>
      <c r="AA198" s="39">
        <v>1</v>
      </c>
      <c r="AB198" s="40">
        <f t="shared" si="9"/>
        <v>13750000</v>
      </c>
      <c r="AC198" s="235"/>
      <c r="AD198" s="235"/>
    </row>
    <row r="199" spans="1:255" s="42" customFormat="1" ht="35.25" customHeight="1">
      <c r="A199" s="229"/>
      <c r="B199" s="231"/>
      <c r="C199" s="66"/>
      <c r="D199" s="66"/>
      <c r="E199" s="67"/>
      <c r="F199" s="67"/>
      <c r="G199" s="68"/>
      <c r="H199" s="68"/>
      <c r="I199" s="232"/>
      <c r="J199" s="232"/>
      <c r="K199" s="33"/>
      <c r="L199" s="233"/>
      <c r="M199" s="234"/>
      <c r="N199" s="234"/>
      <c r="O199" s="234"/>
      <c r="P199" s="234"/>
      <c r="Q199" s="234"/>
      <c r="R199" s="234"/>
      <c r="S199" s="234"/>
      <c r="T199" s="43" t="s">
        <v>605</v>
      </c>
      <c r="U199" s="44"/>
      <c r="V199" s="36">
        <v>15</v>
      </c>
      <c r="W199" s="44" t="s">
        <v>6</v>
      </c>
      <c r="X199" s="45"/>
      <c r="Y199" s="45"/>
      <c r="Z199" s="33"/>
      <c r="AA199" s="39"/>
      <c r="AB199" s="40"/>
      <c r="AC199" s="235"/>
      <c r="AD199" s="235"/>
    </row>
    <row r="200" spans="1:255" s="42" customFormat="1" ht="23.25" customHeight="1">
      <c r="A200" s="229"/>
      <c r="B200" s="231"/>
      <c r="C200" s="66"/>
      <c r="D200" s="66"/>
      <c r="E200" s="67"/>
      <c r="F200" s="67"/>
      <c r="G200" s="68"/>
      <c r="H200" s="68"/>
      <c r="I200" s="232"/>
      <c r="J200" s="232"/>
      <c r="K200" s="33"/>
      <c r="L200" s="233"/>
      <c r="M200" s="234"/>
      <c r="N200" s="234"/>
      <c r="O200" s="234"/>
      <c r="P200" s="234"/>
      <c r="Q200" s="234"/>
      <c r="R200" s="234"/>
      <c r="S200" s="234"/>
      <c r="T200" s="43" t="s">
        <v>606</v>
      </c>
      <c r="U200" s="44"/>
      <c r="V200" s="36">
        <v>15</v>
      </c>
      <c r="W200" s="44" t="s">
        <v>6</v>
      </c>
      <c r="X200" s="45"/>
      <c r="Y200" s="45"/>
      <c r="Z200" s="33"/>
      <c r="AA200" s="39"/>
      <c r="AB200" s="40"/>
      <c r="AC200" s="235"/>
      <c r="AD200" s="235"/>
    </row>
    <row r="201" spans="1:255" s="42" customFormat="1" ht="23.25" customHeight="1">
      <c r="A201" s="229"/>
      <c r="B201" s="231"/>
      <c r="C201" s="66"/>
      <c r="D201" s="66"/>
      <c r="E201" s="67"/>
      <c r="F201" s="67"/>
      <c r="G201" s="68"/>
      <c r="H201" s="68"/>
      <c r="I201" s="232"/>
      <c r="J201" s="232"/>
      <c r="K201" s="33"/>
      <c r="L201" s="233"/>
      <c r="M201" s="234"/>
      <c r="N201" s="234"/>
      <c r="O201" s="234"/>
      <c r="P201" s="234"/>
      <c r="Q201" s="234"/>
      <c r="R201" s="234"/>
      <c r="S201" s="234"/>
      <c r="T201" s="43" t="s">
        <v>607</v>
      </c>
      <c r="U201" s="44"/>
      <c r="V201" s="36"/>
      <c r="W201" s="44" t="s">
        <v>6</v>
      </c>
      <c r="X201" s="45"/>
      <c r="Y201" s="45"/>
      <c r="Z201" s="33"/>
      <c r="AA201" s="39"/>
      <c r="AB201" s="40"/>
      <c r="AC201" s="235"/>
      <c r="AD201" s="235"/>
    </row>
    <row r="202" spans="1:255" s="42" customFormat="1" ht="42.75" customHeight="1">
      <c r="A202" s="229"/>
      <c r="B202" s="231"/>
      <c r="C202" s="66"/>
      <c r="D202" s="66"/>
      <c r="E202" s="67"/>
      <c r="F202" s="67"/>
      <c r="G202" s="68"/>
      <c r="H202" s="68"/>
      <c r="I202" s="232"/>
      <c r="J202" s="232"/>
      <c r="K202" s="33"/>
      <c r="L202" s="233"/>
      <c r="M202" s="234"/>
      <c r="N202" s="234"/>
      <c r="O202" s="234"/>
      <c r="P202" s="234"/>
      <c r="Q202" s="234"/>
      <c r="R202" s="234"/>
      <c r="S202" s="234"/>
      <c r="T202" s="43" t="s">
        <v>608</v>
      </c>
      <c r="U202" s="44"/>
      <c r="V202" s="36"/>
      <c r="W202" s="44" t="s">
        <v>6</v>
      </c>
      <c r="X202" s="45"/>
      <c r="Y202" s="45"/>
      <c r="Z202" s="33"/>
      <c r="AA202" s="39"/>
      <c r="AB202" s="40"/>
      <c r="AC202" s="235"/>
      <c r="AD202" s="235"/>
    </row>
    <row r="203" spans="1:255" s="42" customFormat="1" ht="27" customHeight="1">
      <c r="A203" s="229"/>
      <c r="B203" s="231"/>
      <c r="C203" s="66"/>
      <c r="D203" s="66"/>
      <c r="E203" s="67"/>
      <c r="F203" s="67"/>
      <c r="G203" s="68"/>
      <c r="H203" s="68"/>
      <c r="I203" s="232"/>
      <c r="J203" s="232"/>
      <c r="K203" s="33"/>
      <c r="L203" s="233"/>
      <c r="M203" s="234"/>
      <c r="N203" s="234"/>
      <c r="O203" s="234"/>
      <c r="P203" s="234"/>
      <c r="Q203" s="234"/>
      <c r="R203" s="234"/>
      <c r="S203" s="234"/>
      <c r="T203" s="43" t="s">
        <v>609</v>
      </c>
      <c r="U203" s="44"/>
      <c r="V203" s="36"/>
      <c r="W203" s="44" t="s">
        <v>7</v>
      </c>
      <c r="X203" s="45"/>
      <c r="Y203" s="45"/>
      <c r="Z203" s="33"/>
      <c r="AA203" s="39"/>
      <c r="AB203" s="40"/>
      <c r="AC203" s="235"/>
      <c r="AD203" s="235"/>
    </row>
    <row r="204" spans="1:255" s="42" customFormat="1" ht="27" customHeight="1">
      <c r="A204" s="229"/>
      <c r="B204" s="231"/>
      <c r="C204" s="66"/>
      <c r="D204" s="66"/>
      <c r="E204" s="67"/>
      <c r="F204" s="67"/>
      <c r="G204" s="68"/>
      <c r="H204" s="68"/>
      <c r="I204" s="232"/>
      <c r="J204" s="232"/>
      <c r="K204" s="33"/>
      <c r="L204" s="233"/>
      <c r="M204" s="234"/>
      <c r="N204" s="234"/>
      <c r="O204" s="234"/>
      <c r="P204" s="234"/>
      <c r="Q204" s="234"/>
      <c r="R204" s="234"/>
      <c r="S204" s="234"/>
      <c r="T204" s="43" t="s">
        <v>525</v>
      </c>
      <c r="U204" s="44"/>
      <c r="V204" s="36"/>
      <c r="W204" s="44" t="s">
        <v>395</v>
      </c>
      <c r="X204" s="45">
        <v>2</v>
      </c>
      <c r="Y204" s="45"/>
      <c r="Z204" s="33"/>
      <c r="AA204" s="39"/>
      <c r="AB204" s="40"/>
      <c r="AC204" s="235"/>
      <c r="AD204" s="235"/>
    </row>
    <row r="205" spans="1:255" s="123" customFormat="1" ht="40.5" customHeight="1">
      <c r="A205" s="216">
        <v>17</v>
      </c>
      <c r="B205" s="223" t="s">
        <v>610</v>
      </c>
      <c r="C205" s="217">
        <v>62</v>
      </c>
      <c r="D205" s="217">
        <v>542</v>
      </c>
      <c r="E205" s="218"/>
      <c r="F205" s="218" t="s">
        <v>26</v>
      </c>
      <c r="G205" s="220">
        <v>40.6</v>
      </c>
      <c r="H205" s="220"/>
      <c r="I205" s="220">
        <v>40.6</v>
      </c>
      <c r="J205" s="220">
        <v>1350.6</v>
      </c>
      <c r="K205" s="124"/>
      <c r="L205" s="214">
        <f>(I205+I210)/J205*100</f>
        <v>44.024877832074637</v>
      </c>
      <c r="M205" s="215">
        <f>IF(L205&lt;10,2,IF(L205&lt;20,3,IF(L205&lt;30,5,IF(L205&gt;=70,12,IF(L205&gt;=30,6)))))</f>
        <v>6</v>
      </c>
      <c r="N205" s="215">
        <v>2</v>
      </c>
      <c r="O205" s="215">
        <f>$O$6</f>
        <v>80000</v>
      </c>
      <c r="P205" s="215">
        <f>(I205+I210)*O205</f>
        <v>47568000</v>
      </c>
      <c r="Q205" s="215">
        <f>$Q$6*(I205+I210)</f>
        <v>142704000</v>
      </c>
      <c r="R205" s="215">
        <f>M205*N205*$R$6</f>
        <v>6120000</v>
      </c>
      <c r="S205" s="215">
        <f>R205+Q205+P205</f>
        <v>196392000</v>
      </c>
      <c r="T205" s="95" t="s">
        <v>611</v>
      </c>
      <c r="U205" s="129">
        <v>25</v>
      </c>
      <c r="V205" s="127">
        <f>G205/U205</f>
        <v>1.6240000000000001</v>
      </c>
      <c r="W205" s="129" t="s">
        <v>2</v>
      </c>
      <c r="X205" s="120">
        <v>2</v>
      </c>
      <c r="Y205" s="98"/>
      <c r="Z205" s="124"/>
      <c r="AA205" s="121"/>
      <c r="AB205" s="122"/>
      <c r="AC205" s="212">
        <f>SUM(AB205:AB209)</f>
        <v>9050000</v>
      </c>
      <c r="AD205" s="212">
        <f>AC205+AC210+S205</f>
        <v>300692000</v>
      </c>
      <c r="AE205" s="226" t="s">
        <v>612</v>
      </c>
      <c r="AF205" s="130"/>
      <c r="AG205" s="130"/>
      <c r="AH205" s="130"/>
      <c r="AI205" s="130"/>
      <c r="AJ205" s="130"/>
      <c r="AK205" s="130"/>
      <c r="AL205" s="130"/>
      <c r="AM205" s="130"/>
      <c r="AN205" s="130"/>
      <c r="AO205" s="130"/>
      <c r="AP205" s="130"/>
      <c r="AQ205" s="130"/>
      <c r="AR205" s="130"/>
      <c r="AS205" s="130"/>
      <c r="AT205" s="130"/>
      <c r="AU205" s="130"/>
      <c r="AV205" s="130"/>
      <c r="AW205" s="130"/>
      <c r="AX205" s="130"/>
      <c r="AY205" s="130"/>
      <c r="AZ205" s="130"/>
      <c r="BA205" s="130"/>
      <c r="BB205" s="130"/>
      <c r="BC205" s="130"/>
      <c r="BD205" s="130"/>
      <c r="BE205" s="130"/>
      <c r="BF205" s="130"/>
      <c r="BG205" s="130"/>
      <c r="BH205" s="130"/>
      <c r="BI205" s="130"/>
      <c r="BJ205" s="130"/>
      <c r="BK205" s="130"/>
      <c r="BL205" s="130"/>
      <c r="BM205" s="130"/>
      <c r="BN205" s="130"/>
      <c r="BO205" s="130"/>
      <c r="BP205" s="130"/>
      <c r="BQ205" s="130"/>
      <c r="BR205" s="130"/>
      <c r="BS205" s="130"/>
      <c r="BT205" s="130"/>
      <c r="BU205" s="130"/>
      <c r="BV205" s="130"/>
      <c r="BW205" s="130"/>
      <c r="BX205" s="130"/>
      <c r="BY205" s="130"/>
      <c r="BZ205" s="130"/>
      <c r="CA205" s="130"/>
      <c r="CB205" s="130"/>
      <c r="CC205" s="130"/>
      <c r="CD205" s="130"/>
      <c r="CE205" s="130"/>
      <c r="CF205" s="130"/>
      <c r="CG205" s="130"/>
      <c r="CH205" s="130"/>
      <c r="CI205" s="130"/>
      <c r="CJ205" s="130"/>
      <c r="CK205" s="130"/>
      <c r="CL205" s="130"/>
      <c r="CM205" s="130"/>
      <c r="CN205" s="130"/>
      <c r="CO205" s="130"/>
      <c r="CP205" s="130"/>
      <c r="CQ205" s="130"/>
      <c r="CR205" s="130"/>
      <c r="CS205" s="130"/>
      <c r="CT205" s="130"/>
      <c r="CU205" s="130"/>
      <c r="CV205" s="130"/>
      <c r="CW205" s="130"/>
      <c r="CX205" s="130"/>
      <c r="CY205" s="130"/>
      <c r="CZ205" s="130"/>
      <c r="DA205" s="130"/>
      <c r="DB205" s="130"/>
      <c r="DC205" s="130"/>
      <c r="DD205" s="130"/>
      <c r="DE205" s="130"/>
      <c r="DF205" s="130"/>
      <c r="DG205" s="130"/>
      <c r="DH205" s="130"/>
      <c r="DI205" s="130"/>
      <c r="DJ205" s="130"/>
      <c r="DK205" s="130"/>
      <c r="DL205" s="130"/>
      <c r="DM205" s="130"/>
      <c r="DN205" s="130"/>
      <c r="DO205" s="130"/>
      <c r="DP205" s="130"/>
      <c r="DQ205" s="130"/>
      <c r="DR205" s="130"/>
      <c r="DS205" s="130"/>
      <c r="DT205" s="130"/>
      <c r="DU205" s="130"/>
      <c r="DV205" s="130"/>
      <c r="DW205" s="130"/>
      <c r="DX205" s="130"/>
      <c r="DY205" s="130"/>
      <c r="DZ205" s="130"/>
      <c r="EA205" s="130"/>
      <c r="EB205" s="130"/>
      <c r="EC205" s="130"/>
      <c r="ED205" s="130"/>
      <c r="EE205" s="130"/>
      <c r="EF205" s="130"/>
      <c r="EG205" s="130"/>
      <c r="EH205" s="130"/>
      <c r="EI205" s="130"/>
      <c r="EJ205" s="130"/>
      <c r="EK205" s="130"/>
      <c r="EL205" s="130"/>
      <c r="EM205" s="130"/>
      <c r="EN205" s="130"/>
      <c r="EO205" s="130"/>
      <c r="EP205" s="130"/>
      <c r="EQ205" s="130"/>
      <c r="ER205" s="130"/>
      <c r="ES205" s="130"/>
      <c r="ET205" s="130"/>
      <c r="EU205" s="130"/>
      <c r="EV205" s="130"/>
      <c r="EW205" s="130"/>
      <c r="EX205" s="130"/>
      <c r="EY205" s="130"/>
      <c r="EZ205" s="130"/>
      <c r="FA205" s="130"/>
      <c r="FB205" s="130"/>
      <c r="FC205" s="130"/>
      <c r="FD205" s="130"/>
      <c r="FE205" s="130"/>
      <c r="FF205" s="130"/>
      <c r="FG205" s="130"/>
      <c r="FH205" s="130"/>
      <c r="FI205" s="130"/>
      <c r="FJ205" s="130"/>
      <c r="FK205" s="130"/>
      <c r="FL205" s="130"/>
      <c r="FM205" s="130"/>
      <c r="FN205" s="130"/>
      <c r="FO205" s="130"/>
      <c r="FP205" s="130"/>
      <c r="FQ205" s="130"/>
      <c r="FR205" s="130"/>
      <c r="FS205" s="130"/>
      <c r="FT205" s="130"/>
      <c r="FU205" s="130"/>
      <c r="FV205" s="130"/>
      <c r="FW205" s="130"/>
      <c r="FX205" s="130"/>
      <c r="FY205" s="130"/>
      <c r="FZ205" s="130"/>
      <c r="GA205" s="130"/>
      <c r="GB205" s="130"/>
      <c r="GC205" s="130"/>
      <c r="GD205" s="130"/>
      <c r="GE205" s="130"/>
      <c r="GF205" s="130"/>
      <c r="GG205" s="130"/>
      <c r="GH205" s="130"/>
      <c r="GI205" s="130"/>
      <c r="GJ205" s="130"/>
      <c r="GK205" s="130"/>
      <c r="GL205" s="130"/>
      <c r="GM205" s="130"/>
      <c r="GN205" s="130"/>
      <c r="GO205" s="130"/>
      <c r="GP205" s="130"/>
      <c r="GQ205" s="130"/>
      <c r="GR205" s="130"/>
      <c r="GS205" s="130"/>
      <c r="GT205" s="130"/>
      <c r="GU205" s="130"/>
      <c r="GV205" s="130"/>
      <c r="GW205" s="130"/>
      <c r="GX205" s="130"/>
      <c r="GY205" s="130"/>
      <c r="GZ205" s="130"/>
      <c r="HA205" s="130"/>
      <c r="HB205" s="130"/>
      <c r="HC205" s="130"/>
      <c r="HD205" s="130"/>
      <c r="HE205" s="130"/>
      <c r="HF205" s="130"/>
      <c r="HG205" s="130"/>
      <c r="HH205" s="130"/>
      <c r="HI205" s="130"/>
      <c r="HJ205" s="130"/>
      <c r="HK205" s="130"/>
      <c r="HL205" s="130"/>
      <c r="HM205" s="130"/>
      <c r="HN205" s="130"/>
      <c r="HO205" s="130"/>
      <c r="HP205" s="130"/>
      <c r="HQ205" s="130"/>
      <c r="HR205" s="130"/>
      <c r="HS205" s="130"/>
      <c r="HT205" s="130"/>
      <c r="HU205" s="130"/>
      <c r="HV205" s="130"/>
      <c r="HW205" s="130"/>
      <c r="HX205" s="130"/>
      <c r="HY205" s="130"/>
      <c r="HZ205" s="130"/>
      <c r="IA205" s="130"/>
      <c r="IB205" s="130"/>
      <c r="IC205" s="130"/>
      <c r="ID205" s="130"/>
      <c r="IE205" s="130"/>
      <c r="IF205" s="130"/>
      <c r="IG205" s="130"/>
      <c r="IH205" s="130"/>
      <c r="II205" s="130"/>
      <c r="IJ205" s="130"/>
      <c r="IK205" s="130"/>
      <c r="IL205" s="130"/>
      <c r="IM205" s="130"/>
      <c r="IN205" s="130"/>
      <c r="IO205" s="130"/>
      <c r="IP205" s="130"/>
      <c r="IQ205" s="130"/>
      <c r="IR205" s="130"/>
      <c r="IS205" s="130"/>
      <c r="IT205" s="130"/>
      <c r="IU205" s="130"/>
    </row>
    <row r="206" spans="1:255" s="123" customFormat="1" ht="23.25" customHeight="1">
      <c r="A206" s="216"/>
      <c r="B206" s="223"/>
      <c r="C206" s="217"/>
      <c r="D206" s="217"/>
      <c r="E206" s="218"/>
      <c r="F206" s="218"/>
      <c r="G206" s="220"/>
      <c r="H206" s="220"/>
      <c r="I206" s="220"/>
      <c r="J206" s="220"/>
      <c r="K206" s="124"/>
      <c r="L206" s="214"/>
      <c r="M206" s="215"/>
      <c r="N206" s="215"/>
      <c r="O206" s="215"/>
      <c r="P206" s="215"/>
      <c r="Q206" s="215"/>
      <c r="R206" s="215"/>
      <c r="S206" s="215"/>
      <c r="T206" s="104" t="s">
        <v>399</v>
      </c>
      <c r="U206" s="129"/>
      <c r="V206" s="125"/>
      <c r="W206" s="129" t="s">
        <v>2</v>
      </c>
      <c r="X206" s="120">
        <v>2</v>
      </c>
      <c r="Y206" s="98">
        <v>3850000</v>
      </c>
      <c r="Z206" s="124"/>
      <c r="AA206" s="121">
        <v>1</v>
      </c>
      <c r="AB206" s="122">
        <f>X206*Y206*AA206</f>
        <v>7700000</v>
      </c>
      <c r="AC206" s="212"/>
      <c r="AD206" s="212"/>
      <c r="AE206" s="227"/>
      <c r="AF206" s="130"/>
      <c r="AG206" s="130"/>
      <c r="AH206" s="130"/>
      <c r="AI206" s="130"/>
      <c r="AJ206" s="130"/>
      <c r="AK206" s="130"/>
      <c r="AL206" s="130"/>
      <c r="AM206" s="130"/>
      <c r="AN206" s="130"/>
      <c r="AO206" s="130"/>
      <c r="AP206" s="130"/>
      <c r="AQ206" s="130"/>
      <c r="AR206" s="130"/>
      <c r="AS206" s="130"/>
      <c r="AT206" s="130"/>
      <c r="AU206" s="130"/>
      <c r="AV206" s="130"/>
      <c r="AW206" s="130"/>
      <c r="AX206" s="130"/>
      <c r="AY206" s="130"/>
      <c r="AZ206" s="130"/>
      <c r="BA206" s="130"/>
      <c r="BB206" s="130"/>
      <c r="BC206" s="130"/>
      <c r="BD206" s="130"/>
      <c r="BE206" s="130"/>
      <c r="BF206" s="130"/>
      <c r="BG206" s="130"/>
      <c r="BH206" s="130"/>
      <c r="BI206" s="130"/>
      <c r="BJ206" s="130"/>
      <c r="BK206" s="130"/>
      <c r="BL206" s="130"/>
      <c r="BM206" s="130"/>
      <c r="BN206" s="130"/>
      <c r="BO206" s="130"/>
      <c r="BP206" s="130"/>
      <c r="BQ206" s="130"/>
      <c r="BR206" s="130"/>
      <c r="BS206" s="130"/>
      <c r="BT206" s="130"/>
      <c r="BU206" s="130"/>
      <c r="BV206" s="130"/>
      <c r="BW206" s="130"/>
      <c r="BX206" s="130"/>
      <c r="BY206" s="130"/>
      <c r="BZ206" s="130"/>
      <c r="CA206" s="130"/>
      <c r="CB206" s="130"/>
      <c r="CC206" s="130"/>
      <c r="CD206" s="130"/>
      <c r="CE206" s="130"/>
      <c r="CF206" s="130"/>
      <c r="CG206" s="130"/>
      <c r="CH206" s="130"/>
      <c r="CI206" s="130"/>
      <c r="CJ206" s="130"/>
      <c r="CK206" s="130"/>
      <c r="CL206" s="130"/>
      <c r="CM206" s="130"/>
      <c r="CN206" s="130"/>
      <c r="CO206" s="130"/>
      <c r="CP206" s="130"/>
      <c r="CQ206" s="130"/>
      <c r="CR206" s="130"/>
      <c r="CS206" s="130"/>
      <c r="CT206" s="130"/>
      <c r="CU206" s="130"/>
      <c r="CV206" s="130"/>
      <c r="CW206" s="130"/>
      <c r="CX206" s="130"/>
      <c r="CY206" s="130"/>
      <c r="CZ206" s="130"/>
      <c r="DA206" s="130"/>
      <c r="DB206" s="130"/>
      <c r="DC206" s="130"/>
      <c r="DD206" s="130"/>
      <c r="DE206" s="130"/>
      <c r="DF206" s="130"/>
      <c r="DG206" s="130"/>
      <c r="DH206" s="130"/>
      <c r="DI206" s="130"/>
      <c r="DJ206" s="130"/>
      <c r="DK206" s="130"/>
      <c r="DL206" s="130"/>
      <c r="DM206" s="130"/>
      <c r="DN206" s="130"/>
      <c r="DO206" s="130"/>
      <c r="DP206" s="130"/>
      <c r="DQ206" s="130"/>
      <c r="DR206" s="130"/>
      <c r="DS206" s="130"/>
      <c r="DT206" s="130"/>
      <c r="DU206" s="130"/>
      <c r="DV206" s="130"/>
      <c r="DW206" s="130"/>
      <c r="DX206" s="130"/>
      <c r="DY206" s="130"/>
      <c r="DZ206" s="130"/>
      <c r="EA206" s="130"/>
      <c r="EB206" s="130"/>
      <c r="EC206" s="130"/>
      <c r="ED206" s="130"/>
      <c r="EE206" s="130"/>
      <c r="EF206" s="130"/>
      <c r="EG206" s="130"/>
      <c r="EH206" s="130"/>
      <c r="EI206" s="130"/>
      <c r="EJ206" s="130"/>
      <c r="EK206" s="130"/>
      <c r="EL206" s="130"/>
      <c r="EM206" s="130"/>
      <c r="EN206" s="130"/>
      <c r="EO206" s="130"/>
      <c r="EP206" s="130"/>
      <c r="EQ206" s="130"/>
      <c r="ER206" s="130"/>
      <c r="ES206" s="130"/>
      <c r="ET206" s="130"/>
      <c r="EU206" s="130"/>
      <c r="EV206" s="130"/>
      <c r="EW206" s="130"/>
      <c r="EX206" s="130"/>
      <c r="EY206" s="130"/>
      <c r="EZ206" s="130"/>
      <c r="FA206" s="130"/>
      <c r="FB206" s="130"/>
      <c r="FC206" s="130"/>
      <c r="FD206" s="130"/>
      <c r="FE206" s="130"/>
      <c r="FF206" s="130"/>
      <c r="FG206" s="130"/>
      <c r="FH206" s="130"/>
      <c r="FI206" s="130"/>
      <c r="FJ206" s="130"/>
      <c r="FK206" s="130"/>
      <c r="FL206" s="130"/>
      <c r="FM206" s="130"/>
      <c r="FN206" s="130"/>
      <c r="FO206" s="130"/>
      <c r="FP206" s="130"/>
      <c r="FQ206" s="130"/>
      <c r="FR206" s="130"/>
      <c r="FS206" s="130"/>
      <c r="FT206" s="130"/>
      <c r="FU206" s="130"/>
      <c r="FV206" s="130"/>
      <c r="FW206" s="130"/>
      <c r="FX206" s="130"/>
      <c r="FY206" s="130"/>
      <c r="FZ206" s="130"/>
      <c r="GA206" s="130"/>
      <c r="GB206" s="130"/>
      <c r="GC206" s="130"/>
      <c r="GD206" s="130"/>
      <c r="GE206" s="130"/>
      <c r="GF206" s="130"/>
      <c r="GG206" s="130"/>
      <c r="GH206" s="130"/>
      <c r="GI206" s="130"/>
      <c r="GJ206" s="130"/>
      <c r="GK206" s="130"/>
      <c r="GL206" s="130"/>
      <c r="GM206" s="130"/>
      <c r="GN206" s="130"/>
      <c r="GO206" s="130"/>
      <c r="GP206" s="130"/>
      <c r="GQ206" s="130"/>
      <c r="GR206" s="130"/>
      <c r="GS206" s="130"/>
      <c r="GT206" s="130"/>
      <c r="GU206" s="130"/>
      <c r="GV206" s="130"/>
      <c r="GW206" s="130"/>
      <c r="GX206" s="130"/>
      <c r="GY206" s="130"/>
      <c r="GZ206" s="130"/>
      <c r="HA206" s="130"/>
      <c r="HB206" s="130"/>
      <c r="HC206" s="130"/>
      <c r="HD206" s="130"/>
      <c r="HE206" s="130"/>
      <c r="HF206" s="130"/>
      <c r="HG206" s="130"/>
      <c r="HH206" s="130"/>
      <c r="HI206" s="130"/>
      <c r="HJ206" s="130"/>
      <c r="HK206" s="130"/>
      <c r="HL206" s="130"/>
      <c r="HM206" s="130"/>
      <c r="HN206" s="130"/>
      <c r="HO206" s="130"/>
      <c r="HP206" s="130"/>
      <c r="HQ206" s="130"/>
      <c r="HR206" s="130"/>
      <c r="HS206" s="130"/>
      <c r="HT206" s="130"/>
      <c r="HU206" s="130"/>
      <c r="HV206" s="130"/>
      <c r="HW206" s="130"/>
      <c r="HX206" s="130"/>
      <c r="HY206" s="130"/>
      <c r="HZ206" s="130"/>
      <c r="IA206" s="130"/>
      <c r="IB206" s="130"/>
      <c r="IC206" s="130"/>
      <c r="ID206" s="130"/>
      <c r="IE206" s="130"/>
      <c r="IF206" s="130"/>
      <c r="IG206" s="130"/>
      <c r="IH206" s="130"/>
      <c r="II206" s="130"/>
      <c r="IJ206" s="130"/>
      <c r="IK206" s="130"/>
      <c r="IL206" s="130"/>
      <c r="IM206" s="130"/>
      <c r="IN206" s="130"/>
      <c r="IO206" s="130"/>
      <c r="IP206" s="130"/>
      <c r="IQ206" s="130"/>
      <c r="IR206" s="130"/>
      <c r="IS206" s="130"/>
      <c r="IT206" s="130"/>
      <c r="IU206" s="130"/>
    </row>
    <row r="207" spans="1:255" s="123" customFormat="1" ht="39" customHeight="1">
      <c r="A207" s="216"/>
      <c r="B207" s="223"/>
      <c r="C207" s="217"/>
      <c r="D207" s="217"/>
      <c r="E207" s="218"/>
      <c r="F207" s="218"/>
      <c r="G207" s="220"/>
      <c r="H207" s="220"/>
      <c r="I207" s="220"/>
      <c r="J207" s="220"/>
      <c r="K207" s="124"/>
      <c r="L207" s="214"/>
      <c r="M207" s="215"/>
      <c r="N207" s="215"/>
      <c r="O207" s="215"/>
      <c r="P207" s="215"/>
      <c r="Q207" s="215"/>
      <c r="R207" s="215"/>
      <c r="S207" s="215"/>
      <c r="T207" s="94" t="s">
        <v>613</v>
      </c>
      <c r="U207" s="129"/>
      <c r="V207" s="127">
        <f>V205*0.3</f>
        <v>0.48720000000000002</v>
      </c>
      <c r="W207" s="129" t="s">
        <v>2</v>
      </c>
      <c r="X207" s="120">
        <v>2</v>
      </c>
      <c r="Y207" s="98"/>
      <c r="Z207" s="124"/>
      <c r="AA207" s="121"/>
      <c r="AB207" s="122"/>
      <c r="AC207" s="212"/>
      <c r="AD207" s="212"/>
      <c r="AE207" s="227"/>
      <c r="AF207" s="130"/>
      <c r="AG207" s="130"/>
      <c r="AH207" s="130"/>
      <c r="AI207" s="130"/>
      <c r="AJ207" s="130"/>
      <c r="AK207" s="130"/>
      <c r="AL207" s="130"/>
      <c r="AM207" s="130"/>
      <c r="AN207" s="130"/>
      <c r="AO207" s="130"/>
      <c r="AP207" s="130"/>
      <c r="AQ207" s="130"/>
      <c r="AR207" s="130"/>
      <c r="AS207" s="130"/>
      <c r="AT207" s="130"/>
      <c r="AU207" s="130"/>
      <c r="AV207" s="130"/>
      <c r="AW207" s="130"/>
      <c r="AX207" s="130"/>
      <c r="AY207" s="130"/>
      <c r="AZ207" s="130"/>
      <c r="BA207" s="130"/>
      <c r="BB207" s="130"/>
      <c r="BC207" s="130"/>
      <c r="BD207" s="130"/>
      <c r="BE207" s="130"/>
      <c r="BF207" s="130"/>
      <c r="BG207" s="130"/>
      <c r="BH207" s="130"/>
      <c r="BI207" s="130"/>
      <c r="BJ207" s="130"/>
      <c r="BK207" s="130"/>
      <c r="BL207" s="130"/>
      <c r="BM207" s="130"/>
      <c r="BN207" s="130"/>
      <c r="BO207" s="130"/>
      <c r="BP207" s="130"/>
      <c r="BQ207" s="130"/>
      <c r="BR207" s="130"/>
      <c r="BS207" s="130"/>
      <c r="BT207" s="130"/>
      <c r="BU207" s="130"/>
      <c r="BV207" s="130"/>
      <c r="BW207" s="130"/>
      <c r="BX207" s="130"/>
      <c r="BY207" s="130"/>
      <c r="BZ207" s="130"/>
      <c r="CA207" s="130"/>
      <c r="CB207" s="130"/>
      <c r="CC207" s="130"/>
      <c r="CD207" s="130"/>
      <c r="CE207" s="130"/>
      <c r="CF207" s="130"/>
      <c r="CG207" s="130"/>
      <c r="CH207" s="130"/>
      <c r="CI207" s="130"/>
      <c r="CJ207" s="130"/>
      <c r="CK207" s="130"/>
      <c r="CL207" s="130"/>
      <c r="CM207" s="130"/>
      <c r="CN207" s="130"/>
      <c r="CO207" s="130"/>
      <c r="CP207" s="130"/>
      <c r="CQ207" s="130"/>
      <c r="CR207" s="130"/>
      <c r="CS207" s="130"/>
      <c r="CT207" s="130"/>
      <c r="CU207" s="130"/>
      <c r="CV207" s="130"/>
      <c r="CW207" s="130"/>
      <c r="CX207" s="130"/>
      <c r="CY207" s="130"/>
      <c r="CZ207" s="130"/>
      <c r="DA207" s="130"/>
      <c r="DB207" s="130"/>
      <c r="DC207" s="130"/>
      <c r="DD207" s="130"/>
      <c r="DE207" s="130"/>
      <c r="DF207" s="130"/>
      <c r="DG207" s="130"/>
      <c r="DH207" s="130"/>
      <c r="DI207" s="130"/>
      <c r="DJ207" s="130"/>
      <c r="DK207" s="130"/>
      <c r="DL207" s="130"/>
      <c r="DM207" s="130"/>
      <c r="DN207" s="130"/>
      <c r="DO207" s="130"/>
      <c r="DP207" s="130"/>
      <c r="DQ207" s="130"/>
      <c r="DR207" s="130"/>
      <c r="DS207" s="130"/>
      <c r="DT207" s="130"/>
      <c r="DU207" s="130"/>
      <c r="DV207" s="130"/>
      <c r="DW207" s="130"/>
      <c r="DX207" s="130"/>
      <c r="DY207" s="130"/>
      <c r="DZ207" s="130"/>
      <c r="EA207" s="130"/>
      <c r="EB207" s="130"/>
      <c r="EC207" s="130"/>
      <c r="ED207" s="130"/>
      <c r="EE207" s="130"/>
      <c r="EF207" s="130"/>
      <c r="EG207" s="130"/>
      <c r="EH207" s="130"/>
      <c r="EI207" s="130"/>
      <c r="EJ207" s="130"/>
      <c r="EK207" s="130"/>
      <c r="EL207" s="130"/>
      <c r="EM207" s="130"/>
      <c r="EN207" s="130"/>
      <c r="EO207" s="130"/>
      <c r="EP207" s="130"/>
      <c r="EQ207" s="130"/>
      <c r="ER207" s="130"/>
      <c r="ES207" s="130"/>
      <c r="ET207" s="130"/>
      <c r="EU207" s="130"/>
      <c r="EV207" s="130"/>
      <c r="EW207" s="130"/>
      <c r="EX207" s="130"/>
      <c r="EY207" s="130"/>
      <c r="EZ207" s="130"/>
      <c r="FA207" s="130"/>
      <c r="FB207" s="130"/>
      <c r="FC207" s="130"/>
      <c r="FD207" s="130"/>
      <c r="FE207" s="130"/>
      <c r="FF207" s="130"/>
      <c r="FG207" s="130"/>
      <c r="FH207" s="130"/>
      <c r="FI207" s="130"/>
      <c r="FJ207" s="130"/>
      <c r="FK207" s="130"/>
      <c r="FL207" s="130"/>
      <c r="FM207" s="130"/>
      <c r="FN207" s="130"/>
      <c r="FO207" s="130"/>
      <c r="FP207" s="130"/>
      <c r="FQ207" s="130"/>
      <c r="FR207" s="130"/>
      <c r="FS207" s="130"/>
      <c r="FT207" s="130"/>
      <c r="FU207" s="130"/>
      <c r="FV207" s="130"/>
      <c r="FW207" s="130"/>
      <c r="FX207" s="130"/>
      <c r="FY207" s="130"/>
      <c r="FZ207" s="130"/>
      <c r="GA207" s="130"/>
      <c r="GB207" s="130"/>
      <c r="GC207" s="130"/>
      <c r="GD207" s="130"/>
      <c r="GE207" s="130"/>
      <c r="GF207" s="130"/>
      <c r="GG207" s="130"/>
      <c r="GH207" s="130"/>
      <c r="GI207" s="130"/>
      <c r="GJ207" s="130"/>
      <c r="GK207" s="130"/>
      <c r="GL207" s="130"/>
      <c r="GM207" s="130"/>
      <c r="GN207" s="130"/>
      <c r="GO207" s="130"/>
      <c r="GP207" s="130"/>
      <c r="GQ207" s="130"/>
      <c r="GR207" s="130"/>
      <c r="GS207" s="130"/>
      <c r="GT207" s="130"/>
      <c r="GU207" s="130"/>
      <c r="GV207" s="130"/>
      <c r="GW207" s="130"/>
      <c r="GX207" s="130"/>
      <c r="GY207" s="130"/>
      <c r="GZ207" s="130"/>
      <c r="HA207" s="130"/>
      <c r="HB207" s="130"/>
      <c r="HC207" s="130"/>
      <c r="HD207" s="130"/>
      <c r="HE207" s="130"/>
      <c r="HF207" s="130"/>
      <c r="HG207" s="130"/>
      <c r="HH207" s="130"/>
      <c r="HI207" s="130"/>
      <c r="HJ207" s="130"/>
      <c r="HK207" s="130"/>
      <c r="HL207" s="130"/>
      <c r="HM207" s="130"/>
      <c r="HN207" s="130"/>
      <c r="HO207" s="130"/>
      <c r="HP207" s="130"/>
      <c r="HQ207" s="130"/>
      <c r="HR207" s="130"/>
      <c r="HS207" s="130"/>
      <c r="HT207" s="130"/>
      <c r="HU207" s="130"/>
      <c r="HV207" s="130"/>
      <c r="HW207" s="130"/>
      <c r="HX207" s="130"/>
      <c r="HY207" s="130"/>
      <c r="HZ207" s="130"/>
      <c r="IA207" s="130"/>
      <c r="IB207" s="130"/>
      <c r="IC207" s="130"/>
      <c r="ID207" s="130"/>
      <c r="IE207" s="130"/>
      <c r="IF207" s="130"/>
      <c r="IG207" s="130"/>
      <c r="IH207" s="130"/>
      <c r="II207" s="130"/>
      <c r="IJ207" s="130"/>
      <c r="IK207" s="130"/>
      <c r="IL207" s="130"/>
      <c r="IM207" s="130"/>
      <c r="IN207" s="130"/>
      <c r="IO207" s="130"/>
      <c r="IP207" s="130"/>
      <c r="IQ207" s="130"/>
      <c r="IR207" s="130"/>
      <c r="IS207" s="130"/>
      <c r="IT207" s="130"/>
      <c r="IU207" s="130"/>
    </row>
    <row r="208" spans="1:255" s="123" customFormat="1" ht="23.25" customHeight="1">
      <c r="A208" s="216"/>
      <c r="B208" s="223"/>
      <c r="C208" s="217"/>
      <c r="D208" s="217"/>
      <c r="E208" s="218"/>
      <c r="F208" s="218"/>
      <c r="G208" s="220"/>
      <c r="H208" s="220"/>
      <c r="I208" s="220"/>
      <c r="J208" s="220"/>
      <c r="K208" s="124"/>
      <c r="L208" s="214"/>
      <c r="M208" s="215"/>
      <c r="N208" s="215"/>
      <c r="O208" s="215"/>
      <c r="P208" s="215"/>
      <c r="Q208" s="215"/>
      <c r="R208" s="215"/>
      <c r="S208" s="215"/>
      <c r="T208" s="104" t="s">
        <v>399</v>
      </c>
      <c r="U208" s="129"/>
      <c r="V208" s="127"/>
      <c r="W208" s="129" t="s">
        <v>2</v>
      </c>
      <c r="X208" s="120">
        <v>1</v>
      </c>
      <c r="Y208" s="98">
        <v>2700000</v>
      </c>
      <c r="Z208" s="124"/>
      <c r="AA208" s="128">
        <v>0.5</v>
      </c>
      <c r="AB208" s="122">
        <f>X208*Y208*AA208</f>
        <v>1350000</v>
      </c>
      <c r="AC208" s="212"/>
      <c r="AD208" s="212"/>
      <c r="AE208" s="132"/>
      <c r="AF208" s="130"/>
      <c r="AG208" s="130"/>
      <c r="AH208" s="130"/>
      <c r="AI208" s="130"/>
      <c r="AJ208" s="130"/>
      <c r="AK208" s="130"/>
      <c r="AL208" s="130"/>
      <c r="AM208" s="130"/>
      <c r="AN208" s="130"/>
      <c r="AO208" s="130"/>
      <c r="AP208" s="130"/>
      <c r="AQ208" s="130"/>
      <c r="AR208" s="130"/>
      <c r="AS208" s="130"/>
      <c r="AT208" s="130"/>
      <c r="AU208" s="130"/>
      <c r="AV208" s="130"/>
      <c r="AW208" s="130"/>
      <c r="AX208" s="130"/>
      <c r="AY208" s="130"/>
      <c r="AZ208" s="130"/>
      <c r="BA208" s="130"/>
      <c r="BB208" s="130"/>
      <c r="BC208" s="130"/>
      <c r="BD208" s="130"/>
      <c r="BE208" s="130"/>
      <c r="BF208" s="130"/>
      <c r="BG208" s="130"/>
      <c r="BH208" s="130"/>
      <c r="BI208" s="130"/>
      <c r="BJ208" s="130"/>
      <c r="BK208" s="130"/>
      <c r="BL208" s="130"/>
      <c r="BM208" s="130"/>
      <c r="BN208" s="130"/>
      <c r="BO208" s="130"/>
      <c r="BP208" s="130"/>
      <c r="BQ208" s="130"/>
      <c r="BR208" s="130"/>
      <c r="BS208" s="130"/>
      <c r="BT208" s="130"/>
      <c r="BU208" s="130"/>
      <c r="BV208" s="130"/>
      <c r="BW208" s="130"/>
      <c r="BX208" s="130"/>
      <c r="BY208" s="130"/>
      <c r="BZ208" s="130"/>
      <c r="CA208" s="130"/>
      <c r="CB208" s="130"/>
      <c r="CC208" s="130"/>
      <c r="CD208" s="130"/>
      <c r="CE208" s="130"/>
      <c r="CF208" s="130"/>
      <c r="CG208" s="130"/>
      <c r="CH208" s="130"/>
      <c r="CI208" s="130"/>
      <c r="CJ208" s="130"/>
      <c r="CK208" s="130"/>
      <c r="CL208" s="130"/>
      <c r="CM208" s="130"/>
      <c r="CN208" s="130"/>
      <c r="CO208" s="130"/>
      <c r="CP208" s="130"/>
      <c r="CQ208" s="130"/>
      <c r="CR208" s="130"/>
      <c r="CS208" s="130"/>
      <c r="CT208" s="130"/>
      <c r="CU208" s="130"/>
      <c r="CV208" s="130"/>
      <c r="CW208" s="130"/>
      <c r="CX208" s="130"/>
      <c r="CY208" s="130"/>
      <c r="CZ208" s="130"/>
      <c r="DA208" s="130"/>
      <c r="DB208" s="130"/>
      <c r="DC208" s="130"/>
      <c r="DD208" s="130"/>
      <c r="DE208" s="130"/>
      <c r="DF208" s="130"/>
      <c r="DG208" s="130"/>
      <c r="DH208" s="130"/>
      <c r="DI208" s="130"/>
      <c r="DJ208" s="130"/>
      <c r="DK208" s="130"/>
      <c r="DL208" s="130"/>
      <c r="DM208" s="130"/>
      <c r="DN208" s="130"/>
      <c r="DO208" s="130"/>
      <c r="DP208" s="130"/>
      <c r="DQ208" s="130"/>
      <c r="DR208" s="130"/>
      <c r="DS208" s="130"/>
      <c r="DT208" s="130"/>
      <c r="DU208" s="130"/>
      <c r="DV208" s="130"/>
      <c r="DW208" s="130"/>
      <c r="DX208" s="130"/>
      <c r="DY208" s="130"/>
      <c r="DZ208" s="130"/>
      <c r="EA208" s="130"/>
      <c r="EB208" s="130"/>
      <c r="EC208" s="130"/>
      <c r="ED208" s="130"/>
      <c r="EE208" s="130"/>
      <c r="EF208" s="130"/>
      <c r="EG208" s="130"/>
      <c r="EH208" s="130"/>
      <c r="EI208" s="130"/>
      <c r="EJ208" s="130"/>
      <c r="EK208" s="130"/>
      <c r="EL208" s="130"/>
      <c r="EM208" s="130"/>
      <c r="EN208" s="130"/>
      <c r="EO208" s="130"/>
      <c r="EP208" s="130"/>
      <c r="EQ208" s="130"/>
      <c r="ER208" s="130"/>
      <c r="ES208" s="130"/>
      <c r="ET208" s="130"/>
      <c r="EU208" s="130"/>
      <c r="EV208" s="130"/>
      <c r="EW208" s="130"/>
      <c r="EX208" s="130"/>
      <c r="EY208" s="130"/>
      <c r="EZ208" s="130"/>
      <c r="FA208" s="130"/>
      <c r="FB208" s="130"/>
      <c r="FC208" s="130"/>
      <c r="FD208" s="130"/>
      <c r="FE208" s="130"/>
      <c r="FF208" s="130"/>
      <c r="FG208" s="130"/>
      <c r="FH208" s="130"/>
      <c r="FI208" s="130"/>
      <c r="FJ208" s="130"/>
      <c r="FK208" s="130"/>
      <c r="FL208" s="130"/>
      <c r="FM208" s="130"/>
      <c r="FN208" s="130"/>
      <c r="FO208" s="130"/>
      <c r="FP208" s="130"/>
      <c r="FQ208" s="130"/>
      <c r="FR208" s="130"/>
      <c r="FS208" s="130"/>
      <c r="FT208" s="130"/>
      <c r="FU208" s="130"/>
      <c r="FV208" s="130"/>
      <c r="FW208" s="130"/>
      <c r="FX208" s="130"/>
      <c r="FY208" s="130"/>
      <c r="FZ208" s="130"/>
      <c r="GA208" s="130"/>
      <c r="GB208" s="130"/>
      <c r="GC208" s="130"/>
      <c r="GD208" s="130"/>
      <c r="GE208" s="130"/>
      <c r="GF208" s="130"/>
      <c r="GG208" s="130"/>
      <c r="GH208" s="130"/>
      <c r="GI208" s="130"/>
      <c r="GJ208" s="130"/>
      <c r="GK208" s="130"/>
      <c r="GL208" s="130"/>
      <c r="GM208" s="130"/>
      <c r="GN208" s="130"/>
      <c r="GO208" s="130"/>
      <c r="GP208" s="130"/>
      <c r="GQ208" s="130"/>
      <c r="GR208" s="130"/>
      <c r="GS208" s="130"/>
      <c r="GT208" s="130"/>
      <c r="GU208" s="130"/>
      <c r="GV208" s="130"/>
      <c r="GW208" s="130"/>
      <c r="GX208" s="130"/>
      <c r="GY208" s="130"/>
      <c r="GZ208" s="130"/>
      <c r="HA208" s="130"/>
      <c r="HB208" s="130"/>
      <c r="HC208" s="130"/>
      <c r="HD208" s="130"/>
      <c r="HE208" s="130"/>
      <c r="HF208" s="130"/>
      <c r="HG208" s="130"/>
      <c r="HH208" s="130"/>
      <c r="HI208" s="130"/>
      <c r="HJ208" s="130"/>
      <c r="HK208" s="130"/>
      <c r="HL208" s="130"/>
      <c r="HM208" s="130"/>
      <c r="HN208" s="130"/>
      <c r="HO208" s="130"/>
      <c r="HP208" s="130"/>
      <c r="HQ208" s="130"/>
      <c r="HR208" s="130"/>
      <c r="HS208" s="130"/>
      <c r="HT208" s="130"/>
      <c r="HU208" s="130"/>
      <c r="HV208" s="130"/>
      <c r="HW208" s="130"/>
      <c r="HX208" s="130"/>
      <c r="HY208" s="130"/>
      <c r="HZ208" s="130"/>
      <c r="IA208" s="130"/>
      <c r="IB208" s="130"/>
      <c r="IC208" s="130"/>
      <c r="ID208" s="130"/>
      <c r="IE208" s="130"/>
      <c r="IF208" s="130"/>
      <c r="IG208" s="130"/>
      <c r="IH208" s="130"/>
      <c r="II208" s="130"/>
      <c r="IJ208" s="130"/>
      <c r="IK208" s="130"/>
      <c r="IL208" s="130"/>
      <c r="IM208" s="130"/>
      <c r="IN208" s="130"/>
      <c r="IO208" s="130"/>
      <c r="IP208" s="130"/>
      <c r="IQ208" s="130"/>
      <c r="IR208" s="130"/>
      <c r="IS208" s="130"/>
      <c r="IT208" s="130"/>
      <c r="IU208" s="130"/>
    </row>
    <row r="209" spans="1:255" s="123" customFormat="1" ht="23.25" customHeight="1">
      <c r="A209" s="216"/>
      <c r="B209" s="223"/>
      <c r="C209" s="217"/>
      <c r="D209" s="217"/>
      <c r="E209" s="218"/>
      <c r="F209" s="218"/>
      <c r="G209" s="220"/>
      <c r="H209" s="220"/>
      <c r="I209" s="220"/>
      <c r="J209" s="220"/>
      <c r="K209" s="124"/>
      <c r="L209" s="214"/>
      <c r="M209" s="215"/>
      <c r="N209" s="215"/>
      <c r="O209" s="215"/>
      <c r="P209" s="215"/>
      <c r="Q209" s="215"/>
      <c r="R209" s="215"/>
      <c r="S209" s="215"/>
      <c r="T209" s="104" t="s">
        <v>417</v>
      </c>
      <c r="U209" s="129"/>
      <c r="V209" s="125"/>
      <c r="W209" s="129" t="s">
        <v>2</v>
      </c>
      <c r="X209" s="120">
        <v>1</v>
      </c>
      <c r="Y209" s="98">
        <v>2700000</v>
      </c>
      <c r="Z209" s="124"/>
      <c r="AA209" s="128">
        <v>0</v>
      </c>
      <c r="AB209" s="122">
        <f>X209*Y209*AA209</f>
        <v>0</v>
      </c>
      <c r="AC209" s="212"/>
      <c r="AD209" s="212"/>
    </row>
    <row r="210" spans="1:255" s="123" customFormat="1" ht="37.5" customHeight="1">
      <c r="A210" s="216"/>
      <c r="B210" s="223"/>
      <c r="C210" s="217">
        <v>62</v>
      </c>
      <c r="D210" s="217">
        <v>487</v>
      </c>
      <c r="E210" s="218"/>
      <c r="F210" s="218" t="s">
        <v>26</v>
      </c>
      <c r="G210" s="220">
        <v>554</v>
      </c>
      <c r="H210" s="220"/>
      <c r="I210" s="220">
        <v>554</v>
      </c>
      <c r="J210" s="220"/>
      <c r="K210" s="124"/>
      <c r="L210" s="214"/>
      <c r="M210" s="215"/>
      <c r="N210" s="215"/>
      <c r="O210" s="215"/>
      <c r="P210" s="215"/>
      <c r="Q210" s="215"/>
      <c r="R210" s="215"/>
      <c r="S210" s="215"/>
      <c r="T210" s="94" t="s">
        <v>410</v>
      </c>
      <c r="U210" s="112">
        <v>25</v>
      </c>
      <c r="V210" s="127">
        <f>G210/U210</f>
        <v>22.16</v>
      </c>
      <c r="W210" s="125" t="str">
        <f>'[1]bang gia'!$C$46</f>
        <v>đồng/cây</v>
      </c>
      <c r="X210" s="120">
        <v>3</v>
      </c>
      <c r="Y210" s="98"/>
      <c r="Z210" s="124"/>
      <c r="AA210" s="121"/>
      <c r="AB210" s="122"/>
      <c r="AC210" s="212">
        <f>SUM(AB210:AB218)</f>
        <v>95250000</v>
      </c>
      <c r="AD210" s="212"/>
      <c r="AE210" s="226" t="s">
        <v>612</v>
      </c>
      <c r="AF210" s="130"/>
      <c r="AG210" s="130"/>
      <c r="AH210" s="130"/>
      <c r="AI210" s="130"/>
      <c r="AJ210" s="130"/>
      <c r="AK210" s="130"/>
      <c r="AL210" s="130"/>
      <c r="AM210" s="130"/>
      <c r="AN210" s="130"/>
      <c r="AO210" s="130"/>
      <c r="AP210" s="130"/>
      <c r="AQ210" s="130"/>
      <c r="AR210" s="130"/>
      <c r="AS210" s="130"/>
      <c r="AT210" s="130"/>
      <c r="AU210" s="130"/>
      <c r="AV210" s="130"/>
      <c r="AW210" s="130"/>
      <c r="AX210" s="130"/>
      <c r="AY210" s="130"/>
      <c r="AZ210" s="130"/>
      <c r="BA210" s="130"/>
      <c r="BB210" s="130"/>
      <c r="BC210" s="130"/>
      <c r="BD210" s="130"/>
      <c r="BE210" s="130"/>
      <c r="BF210" s="130"/>
      <c r="BG210" s="130"/>
      <c r="BH210" s="130"/>
      <c r="BI210" s="130"/>
      <c r="BJ210" s="130"/>
      <c r="BK210" s="130"/>
      <c r="BL210" s="130"/>
      <c r="BM210" s="130"/>
      <c r="BN210" s="130"/>
      <c r="BO210" s="130"/>
      <c r="BP210" s="130"/>
      <c r="BQ210" s="130"/>
      <c r="BR210" s="130"/>
      <c r="BS210" s="130"/>
      <c r="BT210" s="130"/>
      <c r="BU210" s="130"/>
      <c r="BV210" s="130"/>
      <c r="BW210" s="130"/>
      <c r="BX210" s="130"/>
      <c r="BY210" s="130"/>
      <c r="BZ210" s="130"/>
      <c r="CA210" s="130"/>
      <c r="CB210" s="130"/>
      <c r="CC210" s="130"/>
      <c r="CD210" s="130"/>
      <c r="CE210" s="130"/>
      <c r="CF210" s="130"/>
      <c r="CG210" s="130"/>
      <c r="CH210" s="130"/>
      <c r="CI210" s="130"/>
      <c r="CJ210" s="130"/>
      <c r="CK210" s="130"/>
      <c r="CL210" s="130"/>
      <c r="CM210" s="130"/>
      <c r="CN210" s="130"/>
      <c r="CO210" s="130"/>
      <c r="CP210" s="130"/>
      <c r="CQ210" s="130"/>
      <c r="CR210" s="130"/>
      <c r="CS210" s="130"/>
      <c r="CT210" s="130"/>
      <c r="CU210" s="130"/>
      <c r="CV210" s="130"/>
      <c r="CW210" s="130"/>
      <c r="CX210" s="130"/>
      <c r="CY210" s="130"/>
      <c r="CZ210" s="130"/>
      <c r="DA210" s="130"/>
      <c r="DB210" s="130"/>
      <c r="DC210" s="130"/>
      <c r="DD210" s="130"/>
      <c r="DE210" s="130"/>
      <c r="DF210" s="130"/>
      <c r="DG210" s="130"/>
      <c r="DH210" s="130"/>
      <c r="DI210" s="130"/>
      <c r="DJ210" s="130"/>
      <c r="DK210" s="130"/>
      <c r="DL210" s="130"/>
      <c r="DM210" s="130"/>
      <c r="DN210" s="130"/>
      <c r="DO210" s="130"/>
      <c r="DP210" s="130"/>
      <c r="DQ210" s="130"/>
      <c r="DR210" s="130"/>
      <c r="DS210" s="130"/>
      <c r="DT210" s="130"/>
      <c r="DU210" s="130"/>
      <c r="DV210" s="130"/>
      <c r="DW210" s="130"/>
      <c r="DX210" s="130"/>
      <c r="DY210" s="130"/>
      <c r="DZ210" s="130"/>
      <c r="EA210" s="130"/>
      <c r="EB210" s="130"/>
      <c r="EC210" s="130"/>
      <c r="ED210" s="130"/>
      <c r="EE210" s="130"/>
      <c r="EF210" s="130"/>
      <c r="EG210" s="130"/>
      <c r="EH210" s="130"/>
      <c r="EI210" s="130"/>
      <c r="EJ210" s="130"/>
      <c r="EK210" s="130"/>
      <c r="EL210" s="130"/>
      <c r="EM210" s="130"/>
      <c r="EN210" s="130"/>
      <c r="EO210" s="130"/>
      <c r="EP210" s="130"/>
      <c r="EQ210" s="130"/>
      <c r="ER210" s="130"/>
      <c r="ES210" s="130"/>
      <c r="ET210" s="130"/>
      <c r="EU210" s="130"/>
      <c r="EV210" s="130"/>
      <c r="EW210" s="130"/>
      <c r="EX210" s="130"/>
      <c r="EY210" s="130"/>
      <c r="EZ210" s="130"/>
      <c r="FA210" s="130"/>
      <c r="FB210" s="130"/>
      <c r="FC210" s="130"/>
      <c r="FD210" s="130"/>
      <c r="FE210" s="130"/>
      <c r="FF210" s="130"/>
      <c r="FG210" s="130"/>
      <c r="FH210" s="130"/>
      <c r="FI210" s="130"/>
      <c r="FJ210" s="130"/>
      <c r="FK210" s="130"/>
      <c r="FL210" s="130"/>
      <c r="FM210" s="130"/>
      <c r="FN210" s="130"/>
      <c r="FO210" s="130"/>
      <c r="FP210" s="130"/>
      <c r="FQ210" s="130"/>
      <c r="FR210" s="130"/>
      <c r="FS210" s="130"/>
      <c r="FT210" s="130"/>
      <c r="FU210" s="130"/>
      <c r="FV210" s="130"/>
      <c r="FW210" s="130"/>
      <c r="FX210" s="130"/>
      <c r="FY210" s="130"/>
      <c r="FZ210" s="130"/>
      <c r="GA210" s="130"/>
      <c r="GB210" s="130"/>
      <c r="GC210" s="130"/>
      <c r="GD210" s="130"/>
      <c r="GE210" s="130"/>
      <c r="GF210" s="130"/>
      <c r="GG210" s="130"/>
      <c r="GH210" s="130"/>
      <c r="GI210" s="130"/>
      <c r="GJ210" s="130"/>
      <c r="GK210" s="130"/>
      <c r="GL210" s="130"/>
      <c r="GM210" s="130"/>
      <c r="GN210" s="130"/>
      <c r="GO210" s="130"/>
      <c r="GP210" s="130"/>
      <c r="GQ210" s="130"/>
      <c r="GR210" s="130"/>
      <c r="GS210" s="130"/>
      <c r="GT210" s="130"/>
      <c r="GU210" s="130"/>
      <c r="GV210" s="130"/>
      <c r="GW210" s="130"/>
      <c r="GX210" s="130"/>
      <c r="GY210" s="130"/>
      <c r="GZ210" s="130"/>
      <c r="HA210" s="130"/>
      <c r="HB210" s="130"/>
      <c r="HC210" s="130"/>
      <c r="HD210" s="130"/>
      <c r="HE210" s="130"/>
      <c r="HF210" s="130"/>
      <c r="HG210" s="130"/>
      <c r="HH210" s="130"/>
      <c r="HI210" s="130"/>
      <c r="HJ210" s="130"/>
      <c r="HK210" s="130"/>
      <c r="HL210" s="130"/>
      <c r="HM210" s="130"/>
      <c r="HN210" s="130"/>
      <c r="HO210" s="130"/>
      <c r="HP210" s="130"/>
      <c r="HQ210" s="130"/>
      <c r="HR210" s="130"/>
      <c r="HS210" s="130"/>
      <c r="HT210" s="130"/>
      <c r="HU210" s="130"/>
      <c r="HV210" s="130"/>
      <c r="HW210" s="130"/>
      <c r="HX210" s="130"/>
      <c r="HY210" s="130"/>
      <c r="HZ210" s="130"/>
      <c r="IA210" s="130"/>
      <c r="IB210" s="130"/>
      <c r="IC210" s="130"/>
      <c r="ID210" s="130"/>
      <c r="IE210" s="130"/>
      <c r="IF210" s="130"/>
      <c r="IG210" s="130"/>
      <c r="IH210" s="130"/>
      <c r="II210" s="130"/>
      <c r="IJ210" s="130"/>
      <c r="IK210" s="130"/>
      <c r="IL210" s="130"/>
      <c r="IM210" s="130"/>
      <c r="IN210" s="130"/>
      <c r="IO210" s="130"/>
      <c r="IP210" s="130"/>
      <c r="IQ210" s="130"/>
      <c r="IR210" s="130"/>
      <c r="IS210" s="130"/>
      <c r="IT210" s="130"/>
      <c r="IU210" s="130"/>
    </row>
    <row r="211" spans="1:255" s="123" customFormat="1" ht="23.25" customHeight="1">
      <c r="A211" s="216"/>
      <c r="B211" s="223"/>
      <c r="C211" s="217"/>
      <c r="D211" s="217"/>
      <c r="E211" s="218"/>
      <c r="F211" s="218"/>
      <c r="G211" s="220"/>
      <c r="H211" s="220"/>
      <c r="I211" s="220"/>
      <c r="J211" s="220"/>
      <c r="K211" s="124"/>
      <c r="L211" s="214"/>
      <c r="M211" s="215"/>
      <c r="N211" s="215"/>
      <c r="O211" s="215"/>
      <c r="P211" s="215"/>
      <c r="Q211" s="215"/>
      <c r="R211" s="215"/>
      <c r="S211" s="215"/>
      <c r="T211" s="104" t="s">
        <v>399</v>
      </c>
      <c r="U211" s="112"/>
      <c r="V211" s="125"/>
      <c r="W211" s="125" t="str">
        <f>'[1]bang gia'!$C$46</f>
        <v>đồng/cây</v>
      </c>
      <c r="X211" s="120">
        <v>3</v>
      </c>
      <c r="Y211" s="98">
        <v>4500000</v>
      </c>
      <c r="Z211" s="124"/>
      <c r="AA211" s="121">
        <v>1</v>
      </c>
      <c r="AB211" s="122">
        <f>X211*Y211*AA211</f>
        <v>13500000</v>
      </c>
      <c r="AC211" s="212"/>
      <c r="AD211" s="212"/>
      <c r="AE211" s="227"/>
      <c r="AF211" s="130"/>
      <c r="AG211" s="130"/>
      <c r="AH211" s="130"/>
      <c r="AI211" s="130"/>
      <c r="AJ211" s="130"/>
      <c r="AK211" s="130"/>
      <c r="AL211" s="130"/>
      <c r="AM211" s="130"/>
      <c r="AN211" s="130"/>
      <c r="AO211" s="130"/>
      <c r="AP211" s="130"/>
      <c r="AQ211" s="130"/>
      <c r="AR211" s="130"/>
      <c r="AS211" s="130"/>
      <c r="AT211" s="130"/>
      <c r="AU211" s="130"/>
      <c r="AV211" s="130"/>
      <c r="AW211" s="130"/>
      <c r="AX211" s="130"/>
      <c r="AY211" s="130"/>
      <c r="AZ211" s="130"/>
      <c r="BA211" s="130"/>
      <c r="BB211" s="130"/>
      <c r="BC211" s="130"/>
      <c r="BD211" s="130"/>
      <c r="BE211" s="130"/>
      <c r="BF211" s="130"/>
      <c r="BG211" s="130"/>
      <c r="BH211" s="130"/>
      <c r="BI211" s="130"/>
      <c r="BJ211" s="130"/>
      <c r="BK211" s="130"/>
      <c r="BL211" s="130"/>
      <c r="BM211" s="130"/>
      <c r="BN211" s="130"/>
      <c r="BO211" s="130"/>
      <c r="BP211" s="130"/>
      <c r="BQ211" s="130"/>
      <c r="BR211" s="130"/>
      <c r="BS211" s="130"/>
      <c r="BT211" s="130"/>
      <c r="BU211" s="130"/>
      <c r="BV211" s="130"/>
      <c r="BW211" s="130"/>
      <c r="BX211" s="130"/>
      <c r="BY211" s="130"/>
      <c r="BZ211" s="130"/>
      <c r="CA211" s="130"/>
      <c r="CB211" s="130"/>
      <c r="CC211" s="130"/>
      <c r="CD211" s="130"/>
      <c r="CE211" s="130"/>
      <c r="CF211" s="130"/>
      <c r="CG211" s="130"/>
      <c r="CH211" s="130"/>
      <c r="CI211" s="130"/>
      <c r="CJ211" s="130"/>
      <c r="CK211" s="130"/>
      <c r="CL211" s="130"/>
      <c r="CM211" s="130"/>
      <c r="CN211" s="130"/>
      <c r="CO211" s="130"/>
      <c r="CP211" s="130"/>
      <c r="CQ211" s="130"/>
      <c r="CR211" s="130"/>
      <c r="CS211" s="130"/>
      <c r="CT211" s="130"/>
      <c r="CU211" s="130"/>
      <c r="CV211" s="130"/>
      <c r="CW211" s="130"/>
      <c r="CX211" s="130"/>
      <c r="CY211" s="130"/>
      <c r="CZ211" s="130"/>
      <c r="DA211" s="130"/>
      <c r="DB211" s="130"/>
      <c r="DC211" s="130"/>
      <c r="DD211" s="130"/>
      <c r="DE211" s="130"/>
      <c r="DF211" s="130"/>
      <c r="DG211" s="130"/>
      <c r="DH211" s="130"/>
      <c r="DI211" s="130"/>
      <c r="DJ211" s="130"/>
      <c r="DK211" s="130"/>
      <c r="DL211" s="130"/>
      <c r="DM211" s="130"/>
      <c r="DN211" s="130"/>
      <c r="DO211" s="130"/>
      <c r="DP211" s="130"/>
      <c r="DQ211" s="130"/>
      <c r="DR211" s="130"/>
      <c r="DS211" s="130"/>
      <c r="DT211" s="130"/>
      <c r="DU211" s="130"/>
      <c r="DV211" s="130"/>
      <c r="DW211" s="130"/>
      <c r="DX211" s="130"/>
      <c r="DY211" s="130"/>
      <c r="DZ211" s="130"/>
      <c r="EA211" s="130"/>
      <c r="EB211" s="130"/>
      <c r="EC211" s="130"/>
      <c r="ED211" s="130"/>
      <c r="EE211" s="130"/>
      <c r="EF211" s="130"/>
      <c r="EG211" s="130"/>
      <c r="EH211" s="130"/>
      <c r="EI211" s="130"/>
      <c r="EJ211" s="130"/>
      <c r="EK211" s="130"/>
      <c r="EL211" s="130"/>
      <c r="EM211" s="130"/>
      <c r="EN211" s="130"/>
      <c r="EO211" s="130"/>
      <c r="EP211" s="130"/>
      <c r="EQ211" s="130"/>
      <c r="ER211" s="130"/>
      <c r="ES211" s="130"/>
      <c r="ET211" s="130"/>
      <c r="EU211" s="130"/>
      <c r="EV211" s="130"/>
      <c r="EW211" s="130"/>
      <c r="EX211" s="130"/>
      <c r="EY211" s="130"/>
      <c r="EZ211" s="130"/>
      <c r="FA211" s="130"/>
      <c r="FB211" s="130"/>
      <c r="FC211" s="130"/>
      <c r="FD211" s="130"/>
      <c r="FE211" s="130"/>
      <c r="FF211" s="130"/>
      <c r="FG211" s="130"/>
      <c r="FH211" s="130"/>
      <c r="FI211" s="130"/>
      <c r="FJ211" s="130"/>
      <c r="FK211" s="130"/>
      <c r="FL211" s="130"/>
      <c r="FM211" s="130"/>
      <c r="FN211" s="130"/>
      <c r="FO211" s="130"/>
      <c r="FP211" s="130"/>
      <c r="FQ211" s="130"/>
      <c r="FR211" s="130"/>
      <c r="FS211" s="130"/>
      <c r="FT211" s="130"/>
      <c r="FU211" s="130"/>
      <c r="FV211" s="130"/>
      <c r="FW211" s="130"/>
      <c r="FX211" s="130"/>
      <c r="FY211" s="130"/>
      <c r="FZ211" s="130"/>
      <c r="GA211" s="130"/>
      <c r="GB211" s="130"/>
      <c r="GC211" s="130"/>
      <c r="GD211" s="130"/>
      <c r="GE211" s="130"/>
      <c r="GF211" s="130"/>
      <c r="GG211" s="130"/>
      <c r="GH211" s="130"/>
      <c r="GI211" s="130"/>
      <c r="GJ211" s="130"/>
      <c r="GK211" s="130"/>
      <c r="GL211" s="130"/>
      <c r="GM211" s="130"/>
      <c r="GN211" s="130"/>
      <c r="GO211" s="130"/>
      <c r="GP211" s="130"/>
      <c r="GQ211" s="130"/>
      <c r="GR211" s="130"/>
      <c r="GS211" s="130"/>
      <c r="GT211" s="130"/>
      <c r="GU211" s="130"/>
      <c r="GV211" s="130"/>
      <c r="GW211" s="130"/>
      <c r="GX211" s="130"/>
      <c r="GY211" s="130"/>
      <c r="GZ211" s="130"/>
      <c r="HA211" s="130"/>
      <c r="HB211" s="130"/>
      <c r="HC211" s="130"/>
      <c r="HD211" s="130"/>
      <c r="HE211" s="130"/>
      <c r="HF211" s="130"/>
      <c r="HG211" s="130"/>
      <c r="HH211" s="130"/>
      <c r="HI211" s="130"/>
      <c r="HJ211" s="130"/>
      <c r="HK211" s="130"/>
      <c r="HL211" s="130"/>
      <c r="HM211" s="130"/>
      <c r="HN211" s="130"/>
      <c r="HO211" s="130"/>
      <c r="HP211" s="130"/>
      <c r="HQ211" s="130"/>
      <c r="HR211" s="130"/>
      <c r="HS211" s="130"/>
      <c r="HT211" s="130"/>
      <c r="HU211" s="130"/>
      <c r="HV211" s="130"/>
      <c r="HW211" s="130"/>
      <c r="HX211" s="130"/>
      <c r="HY211" s="130"/>
      <c r="HZ211" s="130"/>
      <c r="IA211" s="130"/>
      <c r="IB211" s="130"/>
      <c r="IC211" s="130"/>
      <c r="ID211" s="130"/>
      <c r="IE211" s="130"/>
      <c r="IF211" s="130"/>
      <c r="IG211" s="130"/>
      <c r="IH211" s="130"/>
      <c r="II211" s="130"/>
      <c r="IJ211" s="130"/>
      <c r="IK211" s="130"/>
      <c r="IL211" s="130"/>
      <c r="IM211" s="130"/>
      <c r="IN211" s="130"/>
      <c r="IO211" s="130"/>
      <c r="IP211" s="130"/>
      <c r="IQ211" s="130"/>
      <c r="IR211" s="130"/>
      <c r="IS211" s="130"/>
      <c r="IT211" s="130"/>
      <c r="IU211" s="130"/>
    </row>
    <row r="212" spans="1:255" s="123" customFormat="1" ht="36.75" customHeight="1">
      <c r="A212" s="216"/>
      <c r="B212" s="223"/>
      <c r="C212" s="217"/>
      <c r="D212" s="217"/>
      <c r="E212" s="218"/>
      <c r="F212" s="218"/>
      <c r="G212" s="220"/>
      <c r="H212" s="220"/>
      <c r="I212" s="220"/>
      <c r="J212" s="220"/>
      <c r="K212" s="124"/>
      <c r="L212" s="214"/>
      <c r="M212" s="215"/>
      <c r="N212" s="215"/>
      <c r="O212" s="215"/>
      <c r="P212" s="215"/>
      <c r="Q212" s="215"/>
      <c r="R212" s="215"/>
      <c r="S212" s="215"/>
      <c r="T212" s="94" t="s">
        <v>614</v>
      </c>
      <c r="U212" s="129"/>
      <c r="V212" s="125"/>
      <c r="W212" s="129" t="s">
        <v>2</v>
      </c>
      <c r="X212" s="120">
        <v>21</v>
      </c>
      <c r="Y212" s="98"/>
      <c r="Z212" s="124"/>
      <c r="AA212" s="121"/>
      <c r="AB212" s="122"/>
      <c r="AC212" s="212"/>
      <c r="AD212" s="212"/>
      <c r="AE212" s="227"/>
    </row>
    <row r="213" spans="1:255" s="123" customFormat="1" ht="23.25" customHeight="1">
      <c r="A213" s="216"/>
      <c r="B213" s="223"/>
      <c r="C213" s="217"/>
      <c r="D213" s="217"/>
      <c r="E213" s="218"/>
      <c r="F213" s="218"/>
      <c r="G213" s="220"/>
      <c r="H213" s="220"/>
      <c r="I213" s="220"/>
      <c r="J213" s="220"/>
      <c r="K213" s="124"/>
      <c r="L213" s="214"/>
      <c r="M213" s="215"/>
      <c r="N213" s="215"/>
      <c r="O213" s="215"/>
      <c r="P213" s="215"/>
      <c r="Q213" s="215"/>
      <c r="R213" s="215"/>
      <c r="S213" s="215"/>
      <c r="T213" s="104" t="s">
        <v>399</v>
      </c>
      <c r="U213" s="129"/>
      <c r="V213" s="125"/>
      <c r="W213" s="129" t="s">
        <v>2</v>
      </c>
      <c r="X213" s="120">
        <v>19</v>
      </c>
      <c r="Y213" s="98">
        <v>3750000</v>
      </c>
      <c r="Z213" s="124"/>
      <c r="AA213" s="121">
        <v>1</v>
      </c>
      <c r="AB213" s="122">
        <f>X213*Y213*AA213</f>
        <v>71250000</v>
      </c>
      <c r="AC213" s="212"/>
      <c r="AD213" s="212"/>
      <c r="AE213" s="227"/>
    </row>
    <row r="214" spans="1:255" s="123" customFormat="1" ht="23.25" customHeight="1">
      <c r="A214" s="216"/>
      <c r="B214" s="223"/>
      <c r="C214" s="217"/>
      <c r="D214" s="217"/>
      <c r="E214" s="218"/>
      <c r="F214" s="218"/>
      <c r="G214" s="220"/>
      <c r="H214" s="220"/>
      <c r="I214" s="220"/>
      <c r="J214" s="220"/>
      <c r="K214" s="124"/>
      <c r="L214" s="214"/>
      <c r="M214" s="215"/>
      <c r="N214" s="215"/>
      <c r="O214" s="215"/>
      <c r="P214" s="215"/>
      <c r="Q214" s="215"/>
      <c r="R214" s="215"/>
      <c r="S214" s="215"/>
      <c r="T214" s="104" t="s">
        <v>401</v>
      </c>
      <c r="U214" s="129"/>
      <c r="V214" s="127">
        <f>V210*0.3</f>
        <v>6.6479999999999997</v>
      </c>
      <c r="W214" s="129" t="s">
        <v>2</v>
      </c>
      <c r="X214" s="120">
        <v>2</v>
      </c>
      <c r="Y214" s="98">
        <v>3750000</v>
      </c>
      <c r="Z214" s="124"/>
      <c r="AA214" s="128">
        <v>0.5</v>
      </c>
      <c r="AB214" s="122">
        <f>X214*Y214*AA214</f>
        <v>3750000</v>
      </c>
      <c r="AC214" s="212"/>
      <c r="AD214" s="212"/>
      <c r="AE214" s="227"/>
    </row>
    <row r="215" spans="1:255" s="123" customFormat="1" ht="36.75" customHeight="1">
      <c r="A215" s="216"/>
      <c r="B215" s="223"/>
      <c r="C215" s="217"/>
      <c r="D215" s="217"/>
      <c r="E215" s="218"/>
      <c r="F215" s="218"/>
      <c r="G215" s="220"/>
      <c r="H215" s="220"/>
      <c r="I215" s="220"/>
      <c r="J215" s="220"/>
      <c r="K215" s="124"/>
      <c r="L215" s="214"/>
      <c r="M215" s="215"/>
      <c r="N215" s="215"/>
      <c r="O215" s="215"/>
      <c r="P215" s="215"/>
      <c r="Q215" s="215"/>
      <c r="R215" s="215"/>
      <c r="S215" s="215"/>
      <c r="T215" s="94" t="s">
        <v>615</v>
      </c>
      <c r="U215" s="129"/>
      <c r="V215" s="127"/>
      <c r="W215" s="129" t="s">
        <v>2</v>
      </c>
      <c r="X215" s="120">
        <v>5</v>
      </c>
      <c r="Y215" s="98"/>
      <c r="Z215" s="124"/>
      <c r="AA215" s="121"/>
      <c r="AB215" s="122"/>
      <c r="AC215" s="212"/>
      <c r="AD215" s="212"/>
      <c r="AE215" s="132"/>
    </row>
    <row r="216" spans="1:255" s="123" customFormat="1" ht="23.25" customHeight="1">
      <c r="A216" s="216"/>
      <c r="B216" s="223"/>
      <c r="C216" s="217"/>
      <c r="D216" s="217"/>
      <c r="E216" s="218"/>
      <c r="F216" s="218"/>
      <c r="G216" s="220"/>
      <c r="H216" s="220"/>
      <c r="I216" s="220"/>
      <c r="J216" s="220"/>
      <c r="K216" s="124"/>
      <c r="L216" s="214"/>
      <c r="M216" s="215"/>
      <c r="N216" s="215"/>
      <c r="O216" s="215"/>
      <c r="P216" s="215"/>
      <c r="Q216" s="215"/>
      <c r="R216" s="215"/>
      <c r="S216" s="215"/>
      <c r="T216" s="104" t="s">
        <v>401</v>
      </c>
      <c r="U216" s="129"/>
      <c r="V216" s="127"/>
      <c r="W216" s="129" t="s">
        <v>2</v>
      </c>
      <c r="X216" s="120">
        <v>5</v>
      </c>
      <c r="Y216" s="98">
        <v>2700000</v>
      </c>
      <c r="Z216" s="124"/>
      <c r="AA216" s="128">
        <v>0.5</v>
      </c>
      <c r="AB216" s="122">
        <f t="shared" ref="AB216:AB222" si="10">X216*Y216*AA216</f>
        <v>6750000</v>
      </c>
      <c r="AC216" s="212"/>
      <c r="AD216" s="212"/>
    </row>
    <row r="217" spans="1:255" s="123" customFormat="1" ht="23.25" customHeight="1">
      <c r="A217" s="216"/>
      <c r="B217" s="223"/>
      <c r="C217" s="217"/>
      <c r="D217" s="217"/>
      <c r="E217" s="218"/>
      <c r="F217" s="218"/>
      <c r="G217" s="220"/>
      <c r="H217" s="220"/>
      <c r="I217" s="220"/>
      <c r="J217" s="220"/>
      <c r="K217" s="124"/>
      <c r="L217" s="214"/>
      <c r="M217" s="215"/>
      <c r="N217" s="215"/>
      <c r="O217" s="215"/>
      <c r="P217" s="215"/>
      <c r="Q217" s="215"/>
      <c r="R217" s="215"/>
      <c r="S217" s="215"/>
      <c r="T217" s="94" t="s">
        <v>657</v>
      </c>
      <c r="U217" s="129"/>
      <c r="V217" s="125"/>
      <c r="W217" s="125"/>
      <c r="X217" s="120"/>
      <c r="Y217" s="120"/>
      <c r="Z217" s="124"/>
      <c r="AA217" s="121">
        <v>0</v>
      </c>
      <c r="AB217" s="120">
        <v>0</v>
      </c>
      <c r="AC217" s="212"/>
      <c r="AD217" s="212"/>
    </row>
    <row r="218" spans="1:255" s="123" customFormat="1" ht="23.25" customHeight="1">
      <c r="A218" s="216"/>
      <c r="B218" s="223"/>
      <c r="C218" s="217"/>
      <c r="D218" s="217"/>
      <c r="E218" s="218"/>
      <c r="F218" s="218"/>
      <c r="G218" s="220"/>
      <c r="H218" s="220"/>
      <c r="I218" s="220"/>
      <c r="J218" s="220"/>
      <c r="K218" s="124"/>
      <c r="L218" s="214"/>
      <c r="M218" s="215"/>
      <c r="N218" s="215"/>
      <c r="O218" s="215"/>
      <c r="P218" s="215"/>
      <c r="Q218" s="215"/>
      <c r="R218" s="215"/>
      <c r="S218" s="215"/>
      <c r="T218" s="126" t="s">
        <v>403</v>
      </c>
      <c r="U218" s="112"/>
      <c r="V218" s="112"/>
      <c r="W218" s="112" t="s">
        <v>395</v>
      </c>
      <c r="X218" s="122">
        <v>1</v>
      </c>
      <c r="Y218" s="120"/>
      <c r="Z218" s="124"/>
      <c r="AA218" s="121">
        <v>0</v>
      </c>
      <c r="AB218" s="122">
        <f t="shared" si="10"/>
        <v>0</v>
      </c>
      <c r="AC218" s="212"/>
      <c r="AD218" s="212"/>
    </row>
    <row r="219" spans="1:255" s="123" customFormat="1" ht="34.9" customHeight="1">
      <c r="A219" s="216">
        <v>18</v>
      </c>
      <c r="B219" s="221" t="s">
        <v>616</v>
      </c>
      <c r="C219" s="217">
        <v>64</v>
      </c>
      <c r="D219" s="217">
        <v>811</v>
      </c>
      <c r="E219" s="217">
        <v>298.7</v>
      </c>
      <c r="F219" s="217" t="s">
        <v>26</v>
      </c>
      <c r="G219" s="217">
        <v>504</v>
      </c>
      <c r="H219" s="224"/>
      <c r="I219" s="225">
        <v>298.7</v>
      </c>
      <c r="J219" s="216">
        <v>1461.4</v>
      </c>
      <c r="K219" s="146">
        <v>2160</v>
      </c>
      <c r="L219" s="214">
        <f>I219/J219*100</f>
        <v>20.439304776241958</v>
      </c>
      <c r="M219" s="215">
        <f>IF(L219&lt;10,2,IF(L219&lt;20,3,IF(L219&lt;30,5,IF(L219&gt;=70,12,IF(L219&gt;=30,6)))))</f>
        <v>5</v>
      </c>
      <c r="N219" s="215">
        <v>5</v>
      </c>
      <c r="O219" s="215">
        <f>$O$6</f>
        <v>80000</v>
      </c>
      <c r="P219" s="215">
        <f>I219*O219</f>
        <v>23896000</v>
      </c>
      <c r="Q219" s="215">
        <f>$Q$6*I219</f>
        <v>71688000</v>
      </c>
      <c r="R219" s="215">
        <f>M219*N219*$R$6</f>
        <v>12750000</v>
      </c>
      <c r="S219" s="215">
        <f>R219+Q219+P219</f>
        <v>108334000</v>
      </c>
      <c r="T219" s="126" t="s">
        <v>589</v>
      </c>
      <c r="U219" s="112">
        <v>25</v>
      </c>
      <c r="V219" s="127">
        <f>I219/U219</f>
        <v>11.948</v>
      </c>
      <c r="W219" s="125" t="str">
        <f>'[1]bang gia'!$C$46</f>
        <v>đồng/cây</v>
      </c>
      <c r="X219" s="120">
        <v>20</v>
      </c>
      <c r="Y219" s="120"/>
      <c r="Z219" s="124"/>
      <c r="AA219" s="145"/>
      <c r="AB219" s="97"/>
      <c r="AC219" s="212">
        <f>SUM(AB219:AB232)</f>
        <v>60120000</v>
      </c>
      <c r="AD219" s="212">
        <f>AC219+S219</f>
        <v>168454000</v>
      </c>
      <c r="AE219" s="130" t="s">
        <v>407</v>
      </c>
      <c r="AF219" s="130"/>
      <c r="AG219" s="130"/>
      <c r="AH219" s="130"/>
      <c r="AI219" s="130"/>
      <c r="AJ219" s="130"/>
      <c r="AK219" s="130"/>
      <c r="AL219" s="130"/>
      <c r="AM219" s="130"/>
      <c r="AN219" s="130"/>
      <c r="AO219" s="130"/>
      <c r="AP219" s="130"/>
      <c r="AQ219" s="130"/>
      <c r="AR219" s="130"/>
      <c r="AS219" s="130"/>
      <c r="AT219" s="130"/>
      <c r="AU219" s="130"/>
      <c r="AV219" s="130"/>
      <c r="AW219" s="130"/>
      <c r="AX219" s="130"/>
      <c r="AY219" s="130"/>
      <c r="AZ219" s="130"/>
      <c r="BA219" s="130"/>
      <c r="BB219" s="130"/>
      <c r="BC219" s="130"/>
      <c r="BD219" s="130"/>
      <c r="BE219" s="130"/>
      <c r="BF219" s="130"/>
      <c r="BG219" s="130"/>
      <c r="BH219" s="130"/>
      <c r="BI219" s="130"/>
      <c r="BJ219" s="130"/>
      <c r="BK219" s="130"/>
      <c r="BL219" s="130"/>
      <c r="BM219" s="130"/>
      <c r="BN219" s="130"/>
      <c r="BO219" s="130"/>
      <c r="BP219" s="130"/>
      <c r="BQ219" s="130"/>
      <c r="BR219" s="130"/>
      <c r="BS219" s="130"/>
      <c r="BT219" s="130"/>
      <c r="BU219" s="130"/>
      <c r="BV219" s="130"/>
      <c r="BW219" s="130"/>
      <c r="BX219" s="130"/>
      <c r="BY219" s="130"/>
      <c r="BZ219" s="130"/>
      <c r="CA219" s="130"/>
      <c r="CB219" s="130"/>
      <c r="CC219" s="130"/>
      <c r="CD219" s="130"/>
      <c r="CE219" s="130"/>
      <c r="CF219" s="130"/>
      <c r="CG219" s="130"/>
      <c r="CH219" s="130"/>
      <c r="CI219" s="130"/>
      <c r="CJ219" s="130"/>
      <c r="CK219" s="130"/>
      <c r="CL219" s="130"/>
      <c r="CM219" s="130"/>
      <c r="CN219" s="130"/>
      <c r="CO219" s="130"/>
      <c r="CP219" s="130"/>
      <c r="CQ219" s="130"/>
      <c r="CR219" s="130"/>
      <c r="CS219" s="130"/>
      <c r="CT219" s="130"/>
      <c r="CU219" s="130"/>
      <c r="CV219" s="130"/>
      <c r="CW219" s="130"/>
      <c r="CX219" s="130"/>
      <c r="CY219" s="130"/>
      <c r="CZ219" s="130"/>
      <c r="DA219" s="130"/>
      <c r="DB219" s="130"/>
      <c r="DC219" s="130"/>
      <c r="DD219" s="130"/>
      <c r="DE219" s="130"/>
      <c r="DF219" s="130"/>
      <c r="DG219" s="130"/>
      <c r="DH219" s="130"/>
      <c r="DI219" s="130"/>
      <c r="DJ219" s="130"/>
      <c r="DK219" s="130"/>
      <c r="DL219" s="130"/>
      <c r="DM219" s="130"/>
      <c r="DN219" s="130"/>
      <c r="DO219" s="130"/>
      <c r="DP219" s="130"/>
      <c r="DQ219" s="130"/>
      <c r="DR219" s="130"/>
      <c r="DS219" s="130"/>
      <c r="DT219" s="130"/>
      <c r="DU219" s="130"/>
      <c r="DV219" s="130"/>
      <c r="DW219" s="130"/>
      <c r="DX219" s="130"/>
      <c r="DY219" s="130"/>
      <c r="DZ219" s="130"/>
      <c r="EA219" s="130"/>
      <c r="EB219" s="130"/>
      <c r="EC219" s="130"/>
      <c r="ED219" s="130"/>
      <c r="EE219" s="130"/>
      <c r="EF219" s="130"/>
      <c r="EG219" s="130"/>
      <c r="EH219" s="130"/>
      <c r="EI219" s="130"/>
      <c r="EJ219" s="130"/>
      <c r="EK219" s="130"/>
      <c r="EL219" s="130"/>
      <c r="EM219" s="130"/>
      <c r="EN219" s="130"/>
      <c r="EO219" s="130"/>
      <c r="EP219" s="130"/>
      <c r="EQ219" s="130"/>
      <c r="ER219" s="130"/>
      <c r="ES219" s="130"/>
      <c r="ET219" s="130"/>
      <c r="EU219" s="130"/>
      <c r="EV219" s="130"/>
      <c r="EW219" s="130"/>
      <c r="EX219" s="130"/>
      <c r="EY219" s="130"/>
      <c r="EZ219" s="130"/>
      <c r="FA219" s="130"/>
      <c r="FB219" s="130"/>
      <c r="FC219" s="130"/>
      <c r="FD219" s="130"/>
      <c r="FE219" s="130"/>
      <c r="FF219" s="130"/>
      <c r="FG219" s="130"/>
      <c r="FH219" s="130"/>
      <c r="FI219" s="130"/>
      <c r="FJ219" s="130"/>
      <c r="FK219" s="130"/>
      <c r="FL219" s="130"/>
      <c r="FM219" s="130"/>
      <c r="FN219" s="130"/>
      <c r="FO219" s="130"/>
      <c r="FP219" s="130"/>
      <c r="FQ219" s="130"/>
      <c r="FR219" s="130"/>
      <c r="FS219" s="130"/>
      <c r="FT219" s="130"/>
      <c r="FU219" s="130"/>
      <c r="FV219" s="130"/>
      <c r="FW219" s="130"/>
      <c r="FX219" s="130"/>
      <c r="FY219" s="130"/>
      <c r="FZ219" s="130"/>
      <c r="GA219" s="130"/>
      <c r="GB219" s="130"/>
      <c r="GC219" s="130"/>
      <c r="GD219" s="130"/>
      <c r="GE219" s="130"/>
      <c r="GF219" s="130"/>
      <c r="GG219" s="130"/>
      <c r="GH219" s="130"/>
      <c r="GI219" s="130"/>
      <c r="GJ219" s="130"/>
      <c r="GK219" s="130"/>
      <c r="GL219" s="130"/>
      <c r="GM219" s="130"/>
      <c r="GN219" s="130"/>
      <c r="GO219" s="130"/>
      <c r="GP219" s="130"/>
      <c r="GQ219" s="130"/>
      <c r="GR219" s="130"/>
      <c r="GS219" s="130"/>
      <c r="GT219" s="130"/>
      <c r="GU219" s="130"/>
      <c r="GV219" s="130"/>
      <c r="GW219" s="130"/>
      <c r="GX219" s="130"/>
      <c r="GY219" s="130"/>
      <c r="GZ219" s="130"/>
      <c r="HA219" s="130"/>
      <c r="HB219" s="130"/>
      <c r="HC219" s="130"/>
      <c r="HD219" s="130"/>
      <c r="HE219" s="130"/>
      <c r="HF219" s="130"/>
      <c r="HG219" s="130"/>
      <c r="HH219" s="130"/>
      <c r="HI219" s="130"/>
      <c r="HJ219" s="130"/>
      <c r="HK219" s="130"/>
      <c r="HL219" s="130"/>
      <c r="HM219" s="130"/>
      <c r="HN219" s="130"/>
      <c r="HO219" s="130"/>
      <c r="HP219" s="130"/>
      <c r="HQ219" s="130"/>
      <c r="HR219" s="130"/>
      <c r="HS219" s="130"/>
      <c r="HT219" s="130"/>
      <c r="HU219" s="130"/>
      <c r="HV219" s="130"/>
      <c r="HW219" s="130"/>
      <c r="HX219" s="130"/>
      <c r="HY219" s="130"/>
      <c r="HZ219" s="130"/>
      <c r="IA219" s="130"/>
      <c r="IB219" s="130"/>
      <c r="IC219" s="130"/>
      <c r="ID219" s="130"/>
      <c r="IE219" s="130"/>
      <c r="IF219" s="130"/>
      <c r="IG219" s="130"/>
      <c r="IH219" s="130"/>
      <c r="II219" s="130"/>
      <c r="IJ219" s="130"/>
      <c r="IK219" s="130"/>
      <c r="IL219" s="130"/>
      <c r="IM219" s="130"/>
      <c r="IN219" s="130"/>
      <c r="IO219" s="130"/>
      <c r="IP219" s="130"/>
      <c r="IQ219" s="130"/>
      <c r="IR219" s="130"/>
      <c r="IS219" s="130"/>
      <c r="IT219" s="130"/>
      <c r="IU219" s="130"/>
    </row>
    <row r="220" spans="1:255" s="123" customFormat="1" ht="25.5" customHeight="1">
      <c r="A220" s="216"/>
      <c r="B220" s="221"/>
      <c r="C220" s="217"/>
      <c r="D220" s="217"/>
      <c r="E220" s="217"/>
      <c r="F220" s="217"/>
      <c r="G220" s="217"/>
      <c r="H220" s="224"/>
      <c r="I220" s="225"/>
      <c r="J220" s="216"/>
      <c r="K220" s="146">
        <v>2160</v>
      </c>
      <c r="L220" s="214"/>
      <c r="M220" s="215"/>
      <c r="N220" s="215"/>
      <c r="O220" s="215"/>
      <c r="P220" s="215"/>
      <c r="Q220" s="215"/>
      <c r="R220" s="215"/>
      <c r="S220" s="215"/>
      <c r="T220" s="104" t="s">
        <v>399</v>
      </c>
      <c r="U220" s="112"/>
      <c r="V220" s="125"/>
      <c r="W220" s="125" t="str">
        <f>'[1]bang gia'!$C$46</f>
        <v>đồng/cây</v>
      </c>
      <c r="X220" s="120">
        <v>12</v>
      </c>
      <c r="Y220" s="120">
        <v>4500000</v>
      </c>
      <c r="Z220" s="124"/>
      <c r="AA220" s="145">
        <v>1</v>
      </c>
      <c r="AB220" s="97">
        <f t="shared" si="10"/>
        <v>54000000</v>
      </c>
      <c r="AC220" s="212"/>
      <c r="AD220" s="212"/>
      <c r="AE220" s="130"/>
      <c r="AF220" s="130"/>
      <c r="AG220" s="130"/>
      <c r="AH220" s="130"/>
      <c r="AI220" s="130"/>
      <c r="AJ220" s="130"/>
      <c r="AK220" s="130"/>
      <c r="AL220" s="130"/>
      <c r="AM220" s="130"/>
      <c r="AN220" s="130"/>
      <c r="AO220" s="130"/>
      <c r="AP220" s="130"/>
      <c r="AQ220" s="130"/>
      <c r="AR220" s="130"/>
      <c r="AS220" s="130"/>
      <c r="AT220" s="130"/>
      <c r="AU220" s="130"/>
      <c r="AV220" s="130"/>
      <c r="AW220" s="130"/>
      <c r="AX220" s="130"/>
      <c r="AY220" s="130"/>
      <c r="AZ220" s="130"/>
      <c r="BA220" s="130"/>
      <c r="BB220" s="130"/>
      <c r="BC220" s="130"/>
      <c r="BD220" s="130"/>
      <c r="BE220" s="130"/>
      <c r="BF220" s="130"/>
      <c r="BG220" s="130"/>
      <c r="BH220" s="130"/>
      <c r="BI220" s="130"/>
      <c r="BJ220" s="130"/>
      <c r="BK220" s="130"/>
      <c r="BL220" s="130"/>
      <c r="BM220" s="130"/>
      <c r="BN220" s="130"/>
      <c r="BO220" s="130"/>
      <c r="BP220" s="130"/>
      <c r="BQ220" s="130"/>
      <c r="BR220" s="130"/>
      <c r="BS220" s="130"/>
      <c r="BT220" s="130"/>
      <c r="BU220" s="130"/>
      <c r="BV220" s="130"/>
      <c r="BW220" s="130"/>
      <c r="BX220" s="130"/>
      <c r="BY220" s="130"/>
      <c r="BZ220" s="130"/>
      <c r="CA220" s="130"/>
      <c r="CB220" s="130"/>
      <c r="CC220" s="130"/>
      <c r="CD220" s="130"/>
      <c r="CE220" s="130"/>
      <c r="CF220" s="130"/>
      <c r="CG220" s="130"/>
      <c r="CH220" s="130"/>
      <c r="CI220" s="130"/>
      <c r="CJ220" s="130"/>
      <c r="CK220" s="130"/>
      <c r="CL220" s="130"/>
      <c r="CM220" s="130"/>
      <c r="CN220" s="130"/>
      <c r="CO220" s="130"/>
      <c r="CP220" s="130"/>
      <c r="CQ220" s="130"/>
      <c r="CR220" s="130"/>
      <c r="CS220" s="130"/>
      <c r="CT220" s="130"/>
      <c r="CU220" s="130"/>
      <c r="CV220" s="130"/>
      <c r="CW220" s="130"/>
      <c r="CX220" s="130"/>
      <c r="CY220" s="130"/>
      <c r="CZ220" s="130"/>
      <c r="DA220" s="130"/>
      <c r="DB220" s="130"/>
      <c r="DC220" s="130"/>
      <c r="DD220" s="130"/>
      <c r="DE220" s="130"/>
      <c r="DF220" s="130"/>
      <c r="DG220" s="130"/>
      <c r="DH220" s="130"/>
      <c r="DI220" s="130"/>
      <c r="DJ220" s="130"/>
      <c r="DK220" s="130"/>
      <c r="DL220" s="130"/>
      <c r="DM220" s="130"/>
      <c r="DN220" s="130"/>
      <c r="DO220" s="130"/>
      <c r="DP220" s="130"/>
      <c r="DQ220" s="130"/>
      <c r="DR220" s="130"/>
      <c r="DS220" s="130"/>
      <c r="DT220" s="130"/>
      <c r="DU220" s="130"/>
      <c r="DV220" s="130"/>
      <c r="DW220" s="130"/>
      <c r="DX220" s="130"/>
      <c r="DY220" s="130"/>
      <c r="DZ220" s="130"/>
      <c r="EA220" s="130"/>
      <c r="EB220" s="130"/>
      <c r="EC220" s="130"/>
      <c r="ED220" s="130"/>
      <c r="EE220" s="130"/>
      <c r="EF220" s="130"/>
      <c r="EG220" s="130"/>
      <c r="EH220" s="130"/>
      <c r="EI220" s="130"/>
      <c r="EJ220" s="130"/>
      <c r="EK220" s="130"/>
      <c r="EL220" s="130"/>
      <c r="EM220" s="130"/>
      <c r="EN220" s="130"/>
      <c r="EO220" s="130"/>
      <c r="EP220" s="130"/>
      <c r="EQ220" s="130"/>
      <c r="ER220" s="130"/>
      <c r="ES220" s="130"/>
      <c r="ET220" s="130"/>
      <c r="EU220" s="130"/>
      <c r="EV220" s="130"/>
      <c r="EW220" s="130"/>
      <c r="EX220" s="130"/>
      <c r="EY220" s="130"/>
      <c r="EZ220" s="130"/>
      <c r="FA220" s="130"/>
      <c r="FB220" s="130"/>
      <c r="FC220" s="130"/>
      <c r="FD220" s="130"/>
      <c r="FE220" s="130"/>
      <c r="FF220" s="130"/>
      <c r="FG220" s="130"/>
      <c r="FH220" s="130"/>
      <c r="FI220" s="130"/>
      <c r="FJ220" s="130"/>
      <c r="FK220" s="130"/>
      <c r="FL220" s="130"/>
      <c r="FM220" s="130"/>
      <c r="FN220" s="130"/>
      <c r="FO220" s="130"/>
      <c r="FP220" s="130"/>
      <c r="FQ220" s="130"/>
      <c r="FR220" s="130"/>
      <c r="FS220" s="130"/>
      <c r="FT220" s="130"/>
      <c r="FU220" s="130"/>
      <c r="FV220" s="130"/>
      <c r="FW220" s="130"/>
      <c r="FX220" s="130"/>
      <c r="FY220" s="130"/>
      <c r="FZ220" s="130"/>
      <c r="GA220" s="130"/>
      <c r="GB220" s="130"/>
      <c r="GC220" s="130"/>
      <c r="GD220" s="130"/>
      <c r="GE220" s="130"/>
      <c r="GF220" s="130"/>
      <c r="GG220" s="130"/>
      <c r="GH220" s="130"/>
      <c r="GI220" s="130"/>
      <c r="GJ220" s="130"/>
      <c r="GK220" s="130"/>
      <c r="GL220" s="130"/>
      <c r="GM220" s="130"/>
      <c r="GN220" s="130"/>
      <c r="GO220" s="130"/>
      <c r="GP220" s="130"/>
      <c r="GQ220" s="130"/>
      <c r="GR220" s="130"/>
      <c r="GS220" s="130"/>
      <c r="GT220" s="130"/>
      <c r="GU220" s="130"/>
      <c r="GV220" s="130"/>
      <c r="GW220" s="130"/>
      <c r="GX220" s="130"/>
      <c r="GY220" s="130"/>
      <c r="GZ220" s="130"/>
      <c r="HA220" s="130"/>
      <c r="HB220" s="130"/>
      <c r="HC220" s="130"/>
      <c r="HD220" s="130"/>
      <c r="HE220" s="130"/>
      <c r="HF220" s="130"/>
      <c r="HG220" s="130"/>
      <c r="HH220" s="130"/>
      <c r="HI220" s="130"/>
      <c r="HJ220" s="130"/>
      <c r="HK220" s="130"/>
      <c r="HL220" s="130"/>
      <c r="HM220" s="130"/>
      <c r="HN220" s="130"/>
      <c r="HO220" s="130"/>
      <c r="HP220" s="130"/>
      <c r="HQ220" s="130"/>
      <c r="HR220" s="130"/>
      <c r="HS220" s="130"/>
      <c r="HT220" s="130"/>
      <c r="HU220" s="130"/>
      <c r="HV220" s="130"/>
      <c r="HW220" s="130"/>
      <c r="HX220" s="130"/>
      <c r="HY220" s="130"/>
      <c r="HZ220" s="130"/>
      <c r="IA220" s="130"/>
      <c r="IB220" s="130"/>
      <c r="IC220" s="130"/>
      <c r="ID220" s="130"/>
      <c r="IE220" s="130"/>
      <c r="IF220" s="130"/>
      <c r="IG220" s="130"/>
      <c r="IH220" s="130"/>
      <c r="II220" s="130"/>
      <c r="IJ220" s="130"/>
      <c r="IK220" s="130"/>
      <c r="IL220" s="130"/>
      <c r="IM220" s="130"/>
      <c r="IN220" s="130"/>
      <c r="IO220" s="130"/>
      <c r="IP220" s="130"/>
      <c r="IQ220" s="130"/>
      <c r="IR220" s="130"/>
      <c r="IS220" s="130"/>
      <c r="IT220" s="130"/>
      <c r="IU220" s="130"/>
    </row>
    <row r="221" spans="1:255" s="123" customFormat="1" ht="25.5" customHeight="1">
      <c r="A221" s="216"/>
      <c r="B221" s="221"/>
      <c r="C221" s="217"/>
      <c r="D221" s="217"/>
      <c r="E221" s="217"/>
      <c r="F221" s="217"/>
      <c r="G221" s="217"/>
      <c r="H221" s="224"/>
      <c r="I221" s="225"/>
      <c r="J221" s="216"/>
      <c r="K221" s="146">
        <v>2160</v>
      </c>
      <c r="L221" s="214"/>
      <c r="M221" s="215"/>
      <c r="N221" s="215"/>
      <c r="O221" s="215"/>
      <c r="P221" s="215"/>
      <c r="Q221" s="215"/>
      <c r="R221" s="215"/>
      <c r="S221" s="215"/>
      <c r="T221" s="104" t="s">
        <v>401</v>
      </c>
      <c r="U221" s="112"/>
      <c r="V221" s="120">
        <f>(24-12)*0.3</f>
        <v>3.5999999999999996</v>
      </c>
      <c r="W221" s="125" t="str">
        <f>'[1]bang gia'!$C$46</f>
        <v>đồng/cây</v>
      </c>
      <c r="X221" s="120">
        <v>4</v>
      </c>
      <c r="Y221" s="120">
        <v>4500000</v>
      </c>
      <c r="Z221" s="124"/>
      <c r="AA221" s="145">
        <v>0.3</v>
      </c>
      <c r="AB221" s="97">
        <f t="shared" si="10"/>
        <v>5400000</v>
      </c>
      <c r="AC221" s="212"/>
      <c r="AD221" s="212"/>
      <c r="AE221" s="130"/>
      <c r="AF221" s="130"/>
      <c r="AG221" s="130"/>
      <c r="AH221" s="130"/>
      <c r="AI221" s="130"/>
      <c r="AJ221" s="130"/>
      <c r="AK221" s="130"/>
      <c r="AL221" s="130"/>
      <c r="AM221" s="130"/>
      <c r="AN221" s="130"/>
      <c r="AO221" s="130"/>
      <c r="AP221" s="130"/>
      <c r="AQ221" s="130"/>
      <c r="AR221" s="130"/>
      <c r="AS221" s="130"/>
      <c r="AT221" s="130"/>
      <c r="AU221" s="130"/>
      <c r="AV221" s="130"/>
      <c r="AW221" s="130"/>
      <c r="AX221" s="130"/>
      <c r="AY221" s="130"/>
      <c r="AZ221" s="130"/>
      <c r="BA221" s="130"/>
      <c r="BB221" s="130"/>
      <c r="BC221" s="130"/>
      <c r="BD221" s="130"/>
      <c r="BE221" s="130"/>
      <c r="BF221" s="130"/>
      <c r="BG221" s="130"/>
      <c r="BH221" s="130"/>
      <c r="BI221" s="130"/>
      <c r="BJ221" s="130"/>
      <c r="BK221" s="130"/>
      <c r="BL221" s="130"/>
      <c r="BM221" s="130"/>
      <c r="BN221" s="130"/>
      <c r="BO221" s="130"/>
      <c r="BP221" s="130"/>
      <c r="BQ221" s="130"/>
      <c r="BR221" s="130"/>
      <c r="BS221" s="130"/>
      <c r="BT221" s="130"/>
      <c r="BU221" s="130"/>
      <c r="BV221" s="130"/>
      <c r="BW221" s="130"/>
      <c r="BX221" s="130"/>
      <c r="BY221" s="130"/>
      <c r="BZ221" s="130"/>
      <c r="CA221" s="130"/>
      <c r="CB221" s="130"/>
      <c r="CC221" s="130"/>
      <c r="CD221" s="130"/>
      <c r="CE221" s="130"/>
      <c r="CF221" s="130"/>
      <c r="CG221" s="130"/>
      <c r="CH221" s="130"/>
      <c r="CI221" s="130"/>
      <c r="CJ221" s="130"/>
      <c r="CK221" s="130"/>
      <c r="CL221" s="130"/>
      <c r="CM221" s="130"/>
      <c r="CN221" s="130"/>
      <c r="CO221" s="130"/>
      <c r="CP221" s="130"/>
      <c r="CQ221" s="130"/>
      <c r="CR221" s="130"/>
      <c r="CS221" s="130"/>
      <c r="CT221" s="130"/>
      <c r="CU221" s="130"/>
      <c r="CV221" s="130"/>
      <c r="CW221" s="130"/>
      <c r="CX221" s="130"/>
      <c r="CY221" s="130"/>
      <c r="CZ221" s="130"/>
      <c r="DA221" s="130"/>
      <c r="DB221" s="130"/>
      <c r="DC221" s="130"/>
      <c r="DD221" s="130"/>
      <c r="DE221" s="130"/>
      <c r="DF221" s="130"/>
      <c r="DG221" s="130"/>
      <c r="DH221" s="130"/>
      <c r="DI221" s="130"/>
      <c r="DJ221" s="130"/>
      <c r="DK221" s="130"/>
      <c r="DL221" s="130"/>
      <c r="DM221" s="130"/>
      <c r="DN221" s="130"/>
      <c r="DO221" s="130"/>
      <c r="DP221" s="130"/>
      <c r="DQ221" s="130"/>
      <c r="DR221" s="130"/>
      <c r="DS221" s="130"/>
      <c r="DT221" s="130"/>
      <c r="DU221" s="130"/>
      <c r="DV221" s="130"/>
      <c r="DW221" s="130"/>
      <c r="DX221" s="130"/>
      <c r="DY221" s="130"/>
      <c r="DZ221" s="130"/>
      <c r="EA221" s="130"/>
      <c r="EB221" s="130"/>
      <c r="EC221" s="130"/>
      <c r="ED221" s="130"/>
      <c r="EE221" s="130"/>
      <c r="EF221" s="130"/>
      <c r="EG221" s="130"/>
      <c r="EH221" s="130"/>
      <c r="EI221" s="130"/>
      <c r="EJ221" s="130"/>
      <c r="EK221" s="130"/>
      <c r="EL221" s="130"/>
      <c r="EM221" s="130"/>
      <c r="EN221" s="130"/>
      <c r="EO221" s="130"/>
      <c r="EP221" s="130"/>
      <c r="EQ221" s="130"/>
      <c r="ER221" s="130"/>
      <c r="ES221" s="130"/>
      <c r="ET221" s="130"/>
      <c r="EU221" s="130"/>
      <c r="EV221" s="130"/>
      <c r="EW221" s="130"/>
      <c r="EX221" s="130"/>
      <c r="EY221" s="130"/>
      <c r="EZ221" s="130"/>
      <c r="FA221" s="130"/>
      <c r="FB221" s="130"/>
      <c r="FC221" s="130"/>
      <c r="FD221" s="130"/>
      <c r="FE221" s="130"/>
      <c r="FF221" s="130"/>
      <c r="FG221" s="130"/>
      <c r="FH221" s="130"/>
      <c r="FI221" s="130"/>
      <c r="FJ221" s="130"/>
      <c r="FK221" s="130"/>
      <c r="FL221" s="130"/>
      <c r="FM221" s="130"/>
      <c r="FN221" s="130"/>
      <c r="FO221" s="130"/>
      <c r="FP221" s="130"/>
      <c r="FQ221" s="130"/>
      <c r="FR221" s="130"/>
      <c r="FS221" s="130"/>
      <c r="FT221" s="130"/>
      <c r="FU221" s="130"/>
      <c r="FV221" s="130"/>
      <c r="FW221" s="130"/>
      <c r="FX221" s="130"/>
      <c r="FY221" s="130"/>
      <c r="FZ221" s="130"/>
      <c r="GA221" s="130"/>
      <c r="GB221" s="130"/>
      <c r="GC221" s="130"/>
      <c r="GD221" s="130"/>
      <c r="GE221" s="130"/>
      <c r="GF221" s="130"/>
      <c r="GG221" s="130"/>
      <c r="GH221" s="130"/>
      <c r="GI221" s="130"/>
      <c r="GJ221" s="130"/>
      <c r="GK221" s="130"/>
      <c r="GL221" s="130"/>
      <c r="GM221" s="130"/>
      <c r="GN221" s="130"/>
      <c r="GO221" s="130"/>
      <c r="GP221" s="130"/>
      <c r="GQ221" s="130"/>
      <c r="GR221" s="130"/>
      <c r="GS221" s="130"/>
      <c r="GT221" s="130"/>
      <c r="GU221" s="130"/>
      <c r="GV221" s="130"/>
      <c r="GW221" s="130"/>
      <c r="GX221" s="130"/>
      <c r="GY221" s="130"/>
      <c r="GZ221" s="130"/>
      <c r="HA221" s="130"/>
      <c r="HB221" s="130"/>
      <c r="HC221" s="130"/>
      <c r="HD221" s="130"/>
      <c r="HE221" s="130"/>
      <c r="HF221" s="130"/>
      <c r="HG221" s="130"/>
      <c r="HH221" s="130"/>
      <c r="HI221" s="130"/>
      <c r="HJ221" s="130"/>
      <c r="HK221" s="130"/>
      <c r="HL221" s="130"/>
      <c r="HM221" s="130"/>
      <c r="HN221" s="130"/>
      <c r="HO221" s="130"/>
      <c r="HP221" s="130"/>
      <c r="HQ221" s="130"/>
      <c r="HR221" s="130"/>
      <c r="HS221" s="130"/>
      <c r="HT221" s="130"/>
      <c r="HU221" s="130"/>
      <c r="HV221" s="130"/>
      <c r="HW221" s="130"/>
      <c r="HX221" s="130"/>
      <c r="HY221" s="130"/>
      <c r="HZ221" s="130"/>
      <c r="IA221" s="130"/>
      <c r="IB221" s="130"/>
      <c r="IC221" s="130"/>
      <c r="ID221" s="130"/>
      <c r="IE221" s="130"/>
      <c r="IF221" s="130"/>
      <c r="IG221" s="130"/>
      <c r="IH221" s="130"/>
      <c r="II221" s="130"/>
      <c r="IJ221" s="130"/>
      <c r="IK221" s="130"/>
      <c r="IL221" s="130"/>
      <c r="IM221" s="130"/>
      <c r="IN221" s="130"/>
      <c r="IO221" s="130"/>
      <c r="IP221" s="130"/>
      <c r="IQ221" s="130"/>
      <c r="IR221" s="130"/>
      <c r="IS221" s="130"/>
      <c r="IT221" s="130"/>
      <c r="IU221" s="130"/>
    </row>
    <row r="222" spans="1:255" s="123" customFormat="1" ht="25.5" customHeight="1">
      <c r="A222" s="216"/>
      <c r="B222" s="221"/>
      <c r="C222" s="217"/>
      <c r="D222" s="217"/>
      <c r="E222" s="217"/>
      <c r="F222" s="217"/>
      <c r="G222" s="217"/>
      <c r="H222" s="224"/>
      <c r="I222" s="225"/>
      <c r="J222" s="216"/>
      <c r="K222" s="146">
        <v>2160</v>
      </c>
      <c r="L222" s="214"/>
      <c r="M222" s="215"/>
      <c r="N222" s="215"/>
      <c r="O222" s="215"/>
      <c r="P222" s="215"/>
      <c r="Q222" s="215"/>
      <c r="R222" s="215"/>
      <c r="S222" s="215"/>
      <c r="T222" s="104" t="s">
        <v>402</v>
      </c>
      <c r="U222" s="112"/>
      <c r="V222" s="125"/>
      <c r="W222" s="125" t="str">
        <f>'[1]bang gia'!$C$46</f>
        <v>đồng/cây</v>
      </c>
      <c r="X222" s="120">
        <f>X219-X220-X221</f>
        <v>4</v>
      </c>
      <c r="Y222" s="120">
        <v>4500000</v>
      </c>
      <c r="Z222" s="124"/>
      <c r="AA222" s="145">
        <v>0</v>
      </c>
      <c r="AB222" s="97">
        <f t="shared" si="10"/>
        <v>0</v>
      </c>
      <c r="AC222" s="212"/>
      <c r="AD222" s="212"/>
      <c r="AE222" s="130"/>
      <c r="AF222" s="130"/>
      <c r="AG222" s="130"/>
      <c r="AH222" s="130"/>
      <c r="AI222" s="130"/>
      <c r="AJ222" s="130"/>
      <c r="AK222" s="130"/>
      <c r="AL222" s="130"/>
      <c r="AM222" s="130"/>
      <c r="AN222" s="130"/>
      <c r="AO222" s="130"/>
      <c r="AP222" s="130"/>
      <c r="AQ222" s="130"/>
      <c r="AR222" s="130"/>
      <c r="AS222" s="130"/>
      <c r="AT222" s="130"/>
      <c r="AU222" s="130"/>
      <c r="AV222" s="130"/>
      <c r="AW222" s="130"/>
      <c r="AX222" s="130"/>
      <c r="AY222" s="130"/>
      <c r="AZ222" s="130"/>
      <c r="BA222" s="130"/>
      <c r="BB222" s="130"/>
      <c r="BC222" s="130"/>
      <c r="BD222" s="130"/>
      <c r="BE222" s="130"/>
      <c r="BF222" s="130"/>
      <c r="BG222" s="130"/>
      <c r="BH222" s="130"/>
      <c r="BI222" s="130"/>
      <c r="BJ222" s="130"/>
      <c r="BK222" s="130"/>
      <c r="BL222" s="130"/>
      <c r="BM222" s="130"/>
      <c r="BN222" s="130"/>
      <c r="BO222" s="130"/>
      <c r="BP222" s="130"/>
      <c r="BQ222" s="130"/>
      <c r="BR222" s="130"/>
      <c r="BS222" s="130"/>
      <c r="BT222" s="130"/>
      <c r="BU222" s="130"/>
      <c r="BV222" s="130"/>
      <c r="BW222" s="130"/>
      <c r="BX222" s="130"/>
      <c r="BY222" s="130"/>
      <c r="BZ222" s="130"/>
      <c r="CA222" s="130"/>
      <c r="CB222" s="130"/>
      <c r="CC222" s="130"/>
      <c r="CD222" s="130"/>
      <c r="CE222" s="130"/>
      <c r="CF222" s="130"/>
      <c r="CG222" s="130"/>
      <c r="CH222" s="130"/>
      <c r="CI222" s="130"/>
      <c r="CJ222" s="130"/>
      <c r="CK222" s="130"/>
      <c r="CL222" s="130"/>
      <c r="CM222" s="130"/>
      <c r="CN222" s="130"/>
      <c r="CO222" s="130"/>
      <c r="CP222" s="130"/>
      <c r="CQ222" s="130"/>
      <c r="CR222" s="130"/>
      <c r="CS222" s="130"/>
      <c r="CT222" s="130"/>
      <c r="CU222" s="130"/>
      <c r="CV222" s="130"/>
      <c r="CW222" s="130"/>
      <c r="CX222" s="130"/>
      <c r="CY222" s="130"/>
      <c r="CZ222" s="130"/>
      <c r="DA222" s="130"/>
      <c r="DB222" s="130"/>
      <c r="DC222" s="130"/>
      <c r="DD222" s="130"/>
      <c r="DE222" s="130"/>
      <c r="DF222" s="130"/>
      <c r="DG222" s="130"/>
      <c r="DH222" s="130"/>
      <c r="DI222" s="130"/>
      <c r="DJ222" s="130"/>
      <c r="DK222" s="130"/>
      <c r="DL222" s="130"/>
      <c r="DM222" s="130"/>
      <c r="DN222" s="130"/>
      <c r="DO222" s="130"/>
      <c r="DP222" s="130"/>
      <c r="DQ222" s="130"/>
      <c r="DR222" s="130"/>
      <c r="DS222" s="130"/>
      <c r="DT222" s="130"/>
      <c r="DU222" s="130"/>
      <c r="DV222" s="130"/>
      <c r="DW222" s="130"/>
      <c r="DX222" s="130"/>
      <c r="DY222" s="130"/>
      <c r="DZ222" s="130"/>
      <c r="EA222" s="130"/>
      <c r="EB222" s="130"/>
      <c r="EC222" s="130"/>
      <c r="ED222" s="130"/>
      <c r="EE222" s="130"/>
      <c r="EF222" s="130"/>
      <c r="EG222" s="130"/>
      <c r="EH222" s="130"/>
      <c r="EI222" s="130"/>
      <c r="EJ222" s="130"/>
      <c r="EK222" s="130"/>
      <c r="EL222" s="130"/>
      <c r="EM222" s="130"/>
      <c r="EN222" s="130"/>
      <c r="EO222" s="130"/>
      <c r="EP222" s="130"/>
      <c r="EQ222" s="130"/>
      <c r="ER222" s="130"/>
      <c r="ES222" s="130"/>
      <c r="ET222" s="130"/>
      <c r="EU222" s="130"/>
      <c r="EV222" s="130"/>
      <c r="EW222" s="130"/>
      <c r="EX222" s="130"/>
      <c r="EY222" s="130"/>
      <c r="EZ222" s="130"/>
      <c r="FA222" s="130"/>
      <c r="FB222" s="130"/>
      <c r="FC222" s="130"/>
      <c r="FD222" s="130"/>
      <c r="FE222" s="130"/>
      <c r="FF222" s="130"/>
      <c r="FG222" s="130"/>
      <c r="FH222" s="130"/>
      <c r="FI222" s="130"/>
      <c r="FJ222" s="130"/>
      <c r="FK222" s="130"/>
      <c r="FL222" s="130"/>
      <c r="FM222" s="130"/>
      <c r="FN222" s="130"/>
      <c r="FO222" s="130"/>
      <c r="FP222" s="130"/>
      <c r="FQ222" s="130"/>
      <c r="FR222" s="130"/>
      <c r="FS222" s="130"/>
      <c r="FT222" s="130"/>
      <c r="FU222" s="130"/>
      <c r="FV222" s="130"/>
      <c r="FW222" s="130"/>
      <c r="FX222" s="130"/>
      <c r="FY222" s="130"/>
      <c r="FZ222" s="130"/>
      <c r="GA222" s="130"/>
      <c r="GB222" s="130"/>
      <c r="GC222" s="130"/>
      <c r="GD222" s="130"/>
      <c r="GE222" s="130"/>
      <c r="GF222" s="130"/>
      <c r="GG222" s="130"/>
      <c r="GH222" s="130"/>
      <c r="GI222" s="130"/>
      <c r="GJ222" s="130"/>
      <c r="GK222" s="130"/>
      <c r="GL222" s="130"/>
      <c r="GM222" s="130"/>
      <c r="GN222" s="130"/>
      <c r="GO222" s="130"/>
      <c r="GP222" s="130"/>
      <c r="GQ222" s="130"/>
      <c r="GR222" s="130"/>
      <c r="GS222" s="130"/>
      <c r="GT222" s="130"/>
      <c r="GU222" s="130"/>
      <c r="GV222" s="130"/>
      <c r="GW222" s="130"/>
      <c r="GX222" s="130"/>
      <c r="GY222" s="130"/>
      <c r="GZ222" s="130"/>
      <c r="HA222" s="130"/>
      <c r="HB222" s="130"/>
      <c r="HC222" s="130"/>
      <c r="HD222" s="130"/>
      <c r="HE222" s="130"/>
      <c r="HF222" s="130"/>
      <c r="HG222" s="130"/>
      <c r="HH222" s="130"/>
      <c r="HI222" s="130"/>
      <c r="HJ222" s="130"/>
      <c r="HK222" s="130"/>
      <c r="HL222" s="130"/>
      <c r="HM222" s="130"/>
      <c r="HN222" s="130"/>
      <c r="HO222" s="130"/>
      <c r="HP222" s="130"/>
      <c r="HQ222" s="130"/>
      <c r="HR222" s="130"/>
      <c r="HS222" s="130"/>
      <c r="HT222" s="130"/>
      <c r="HU222" s="130"/>
      <c r="HV222" s="130"/>
      <c r="HW222" s="130"/>
      <c r="HX222" s="130"/>
      <c r="HY222" s="130"/>
      <c r="HZ222" s="130"/>
      <c r="IA222" s="130"/>
      <c r="IB222" s="130"/>
      <c r="IC222" s="130"/>
      <c r="ID222" s="130"/>
      <c r="IE222" s="130"/>
      <c r="IF222" s="130"/>
      <c r="IG222" s="130"/>
      <c r="IH222" s="130"/>
      <c r="II222" s="130"/>
      <c r="IJ222" s="130"/>
      <c r="IK222" s="130"/>
      <c r="IL222" s="130"/>
      <c r="IM222" s="130"/>
      <c r="IN222" s="130"/>
      <c r="IO222" s="130"/>
      <c r="IP222" s="130"/>
      <c r="IQ222" s="130"/>
      <c r="IR222" s="130"/>
      <c r="IS222" s="130"/>
      <c r="IT222" s="130"/>
      <c r="IU222" s="130"/>
    </row>
    <row r="223" spans="1:255" s="123" customFormat="1" ht="34.9" customHeight="1">
      <c r="A223" s="216"/>
      <c r="B223" s="221"/>
      <c r="C223" s="217"/>
      <c r="D223" s="217"/>
      <c r="E223" s="217"/>
      <c r="F223" s="217"/>
      <c r="G223" s="217"/>
      <c r="H223" s="224"/>
      <c r="I223" s="225"/>
      <c r="J223" s="216"/>
      <c r="K223" s="146">
        <v>2160</v>
      </c>
      <c r="L223" s="214"/>
      <c r="M223" s="215"/>
      <c r="N223" s="215"/>
      <c r="O223" s="215"/>
      <c r="P223" s="215"/>
      <c r="Q223" s="215"/>
      <c r="R223" s="215"/>
      <c r="S223" s="215"/>
      <c r="T223" s="95" t="s">
        <v>409</v>
      </c>
      <c r="U223" s="112"/>
      <c r="V223" s="125"/>
      <c r="W223" s="125" t="str">
        <f>'[1]bang gia'!$C$45</f>
        <v>đồng/cây</v>
      </c>
      <c r="X223" s="120">
        <v>4</v>
      </c>
      <c r="Y223" s="120"/>
      <c r="Z223" s="124"/>
      <c r="AA223" s="121"/>
      <c r="AB223" s="120"/>
      <c r="AC223" s="212"/>
      <c r="AD223" s="212"/>
    </row>
    <row r="224" spans="1:255" s="123" customFormat="1" ht="25.5" customHeight="1">
      <c r="A224" s="216"/>
      <c r="B224" s="221"/>
      <c r="C224" s="217"/>
      <c r="D224" s="217"/>
      <c r="E224" s="217"/>
      <c r="F224" s="217"/>
      <c r="G224" s="217"/>
      <c r="H224" s="224"/>
      <c r="I224" s="225"/>
      <c r="J224" s="216"/>
      <c r="K224" s="146">
        <v>2160</v>
      </c>
      <c r="L224" s="214"/>
      <c r="M224" s="215"/>
      <c r="N224" s="215"/>
      <c r="O224" s="215"/>
      <c r="P224" s="215"/>
      <c r="Q224" s="215"/>
      <c r="R224" s="215"/>
      <c r="S224" s="215"/>
      <c r="T224" s="104" t="s">
        <v>402</v>
      </c>
      <c r="U224" s="112"/>
      <c r="V224" s="125"/>
      <c r="W224" s="125" t="str">
        <f>'[1]bang gia'!$C$45</f>
        <v>đồng/cây</v>
      </c>
      <c r="X224" s="120">
        <v>4</v>
      </c>
      <c r="Y224" s="120">
        <v>3850000</v>
      </c>
      <c r="Z224" s="124"/>
      <c r="AA224" s="145">
        <v>0</v>
      </c>
      <c r="AB224" s="97">
        <f>X224*Y224*AA224</f>
        <v>0</v>
      </c>
      <c r="AC224" s="212"/>
      <c r="AD224" s="212"/>
    </row>
    <row r="225" spans="1:31" s="123" customFormat="1" ht="34.9" customHeight="1">
      <c r="A225" s="216"/>
      <c r="B225" s="221"/>
      <c r="C225" s="217"/>
      <c r="D225" s="217"/>
      <c r="E225" s="217"/>
      <c r="F225" s="217"/>
      <c r="G225" s="217"/>
      <c r="H225" s="224"/>
      <c r="I225" s="225"/>
      <c r="J225" s="216"/>
      <c r="K225" s="146">
        <v>2160</v>
      </c>
      <c r="L225" s="214"/>
      <c r="M225" s="215"/>
      <c r="N225" s="215"/>
      <c r="O225" s="215"/>
      <c r="P225" s="215"/>
      <c r="Q225" s="215"/>
      <c r="R225" s="215"/>
      <c r="S225" s="215"/>
      <c r="T225" s="94" t="s">
        <v>617</v>
      </c>
      <c r="U225" s="129">
        <v>25</v>
      </c>
      <c r="V225" s="127">
        <f>298.7/25*0.3</f>
        <v>3.5844</v>
      </c>
      <c r="W225" s="129" t="s">
        <v>2</v>
      </c>
      <c r="X225" s="120">
        <v>9</v>
      </c>
      <c r="Y225" s="120"/>
      <c r="Z225" s="124"/>
      <c r="AA225" s="145"/>
      <c r="AB225" s="97"/>
      <c r="AC225" s="212"/>
      <c r="AD225" s="212"/>
    </row>
    <row r="226" spans="1:31" s="123" customFormat="1" ht="25.15" customHeight="1">
      <c r="A226" s="216"/>
      <c r="B226" s="221"/>
      <c r="C226" s="217"/>
      <c r="D226" s="217"/>
      <c r="E226" s="217"/>
      <c r="F226" s="217"/>
      <c r="G226" s="217"/>
      <c r="H226" s="224"/>
      <c r="I226" s="225"/>
      <c r="J226" s="216"/>
      <c r="K226" s="146">
        <v>2160</v>
      </c>
      <c r="L226" s="214"/>
      <c r="M226" s="215"/>
      <c r="N226" s="215"/>
      <c r="O226" s="215"/>
      <c r="P226" s="215"/>
      <c r="Q226" s="215"/>
      <c r="R226" s="215"/>
      <c r="S226" s="215"/>
      <c r="T226" s="104" t="s">
        <v>399</v>
      </c>
      <c r="U226" s="112"/>
      <c r="V226" s="125"/>
      <c r="W226" s="129" t="s">
        <v>2</v>
      </c>
      <c r="X226" s="120">
        <v>4</v>
      </c>
      <c r="Y226" s="120">
        <v>600000</v>
      </c>
      <c r="Z226" s="124"/>
      <c r="AA226" s="145">
        <v>0.3</v>
      </c>
      <c r="AB226" s="97">
        <f>X226*Y226*AA226</f>
        <v>720000</v>
      </c>
      <c r="AC226" s="212"/>
      <c r="AD226" s="212"/>
    </row>
    <row r="227" spans="1:31" s="123" customFormat="1" ht="25.15" customHeight="1">
      <c r="A227" s="216"/>
      <c r="B227" s="221"/>
      <c r="C227" s="217"/>
      <c r="D227" s="217"/>
      <c r="E227" s="217"/>
      <c r="F227" s="217"/>
      <c r="G227" s="217"/>
      <c r="H227" s="224"/>
      <c r="I227" s="225"/>
      <c r="J227" s="216"/>
      <c r="K227" s="146">
        <v>2160</v>
      </c>
      <c r="L227" s="214"/>
      <c r="M227" s="215"/>
      <c r="N227" s="215"/>
      <c r="O227" s="215"/>
      <c r="P227" s="215"/>
      <c r="Q227" s="215"/>
      <c r="R227" s="215"/>
      <c r="S227" s="215"/>
      <c r="T227" s="104" t="s">
        <v>417</v>
      </c>
      <c r="U227" s="112"/>
      <c r="V227" s="125"/>
      <c r="W227" s="129" t="s">
        <v>2</v>
      </c>
      <c r="X227" s="120">
        <v>5</v>
      </c>
      <c r="Y227" s="120">
        <v>600000</v>
      </c>
      <c r="Z227" s="124"/>
      <c r="AA227" s="145">
        <v>0</v>
      </c>
      <c r="AB227" s="97">
        <f>X227*Y227*AA227</f>
        <v>0</v>
      </c>
      <c r="AC227" s="212"/>
      <c r="AD227" s="212"/>
    </row>
    <row r="228" spans="1:31" s="123" customFormat="1" ht="21.75" customHeight="1">
      <c r="A228" s="216"/>
      <c r="B228" s="221"/>
      <c r="C228" s="217"/>
      <c r="D228" s="217"/>
      <c r="E228" s="217"/>
      <c r="F228" s="217"/>
      <c r="G228" s="217"/>
      <c r="H228" s="224"/>
      <c r="I228" s="225"/>
      <c r="J228" s="216"/>
      <c r="K228" s="146">
        <v>2160</v>
      </c>
      <c r="L228" s="214"/>
      <c r="M228" s="215"/>
      <c r="N228" s="215"/>
      <c r="O228" s="215"/>
      <c r="P228" s="215"/>
      <c r="Q228" s="215"/>
      <c r="R228" s="215"/>
      <c r="S228" s="215"/>
      <c r="T228" s="94" t="s">
        <v>618</v>
      </c>
      <c r="U228" s="112"/>
      <c r="V228" s="125"/>
      <c r="W228" s="125" t="str">
        <f>'[1]bang gia'!$C$45</f>
        <v>đồng/cây</v>
      </c>
      <c r="X228" s="120">
        <v>20</v>
      </c>
      <c r="Y228" s="120"/>
      <c r="Z228" s="124"/>
      <c r="AA228" s="145"/>
      <c r="AB228" s="97"/>
      <c r="AC228" s="212"/>
      <c r="AD228" s="212"/>
    </row>
    <row r="229" spans="1:31" s="123" customFormat="1" ht="21" customHeight="1">
      <c r="A229" s="216"/>
      <c r="B229" s="221"/>
      <c r="C229" s="217"/>
      <c r="D229" s="217"/>
      <c r="E229" s="217"/>
      <c r="F229" s="217"/>
      <c r="G229" s="217"/>
      <c r="H229" s="224"/>
      <c r="I229" s="225"/>
      <c r="J229" s="216"/>
      <c r="K229" s="146">
        <v>2160</v>
      </c>
      <c r="L229" s="214"/>
      <c r="M229" s="215"/>
      <c r="N229" s="215"/>
      <c r="O229" s="215"/>
      <c r="P229" s="215"/>
      <c r="Q229" s="215"/>
      <c r="R229" s="215"/>
      <c r="S229" s="215"/>
      <c r="T229" s="104" t="s">
        <v>417</v>
      </c>
      <c r="U229" s="112"/>
      <c r="V229" s="125"/>
      <c r="W229" s="125" t="str">
        <f>'[1]bang gia'!$C$45</f>
        <v>đồng/cây</v>
      </c>
      <c r="X229" s="120">
        <v>20</v>
      </c>
      <c r="Y229" s="120">
        <v>200000</v>
      </c>
      <c r="Z229" s="124"/>
      <c r="AA229" s="145">
        <v>0</v>
      </c>
      <c r="AB229" s="97">
        <f>X229*Y229*AA229</f>
        <v>0</v>
      </c>
      <c r="AC229" s="212"/>
      <c r="AD229" s="212"/>
    </row>
    <row r="230" spans="1:31" s="123" customFormat="1" ht="21" customHeight="1">
      <c r="A230" s="216"/>
      <c r="B230" s="221"/>
      <c r="C230" s="217"/>
      <c r="D230" s="217"/>
      <c r="E230" s="217"/>
      <c r="F230" s="217"/>
      <c r="G230" s="217"/>
      <c r="H230" s="224"/>
      <c r="I230" s="225"/>
      <c r="J230" s="216"/>
      <c r="K230" s="146">
        <v>2160</v>
      </c>
      <c r="L230" s="214"/>
      <c r="M230" s="215"/>
      <c r="N230" s="215"/>
      <c r="O230" s="215"/>
      <c r="P230" s="215"/>
      <c r="Q230" s="215"/>
      <c r="R230" s="215"/>
      <c r="S230" s="215"/>
      <c r="T230" s="94" t="s">
        <v>619</v>
      </c>
      <c r="U230" s="129"/>
      <c r="V230" s="125"/>
      <c r="W230" s="129" t="s">
        <v>2</v>
      </c>
      <c r="X230" s="120">
        <v>15</v>
      </c>
      <c r="Y230" s="120"/>
      <c r="Z230" s="124"/>
      <c r="AA230" s="121"/>
      <c r="AB230" s="120"/>
      <c r="AC230" s="212"/>
      <c r="AD230" s="212"/>
    </row>
    <row r="231" spans="1:31" s="123" customFormat="1" ht="21" customHeight="1">
      <c r="A231" s="216"/>
      <c r="B231" s="221"/>
      <c r="C231" s="217"/>
      <c r="D231" s="217"/>
      <c r="E231" s="217"/>
      <c r="F231" s="217"/>
      <c r="G231" s="217"/>
      <c r="H231" s="224"/>
      <c r="I231" s="225"/>
      <c r="J231" s="216"/>
      <c r="K231" s="146">
        <v>2160</v>
      </c>
      <c r="L231" s="214"/>
      <c r="M231" s="215"/>
      <c r="N231" s="215"/>
      <c r="O231" s="215"/>
      <c r="P231" s="215"/>
      <c r="Q231" s="215"/>
      <c r="R231" s="215"/>
      <c r="S231" s="215"/>
      <c r="T231" s="104" t="s">
        <v>417</v>
      </c>
      <c r="U231" s="129"/>
      <c r="V231" s="125"/>
      <c r="W231" s="129" t="s">
        <v>2</v>
      </c>
      <c r="X231" s="120">
        <v>15</v>
      </c>
      <c r="Y231" s="120">
        <v>150000</v>
      </c>
      <c r="Z231" s="124"/>
      <c r="AA231" s="145">
        <v>0</v>
      </c>
      <c r="AB231" s="97">
        <f>X231*Y231*AA231</f>
        <v>0</v>
      </c>
      <c r="AC231" s="212"/>
      <c r="AD231" s="212"/>
    </row>
    <row r="232" spans="1:31" s="123" customFormat="1" ht="21" customHeight="1">
      <c r="A232" s="216"/>
      <c r="B232" s="221"/>
      <c r="C232" s="217"/>
      <c r="D232" s="217"/>
      <c r="E232" s="217"/>
      <c r="F232" s="217"/>
      <c r="G232" s="217"/>
      <c r="H232" s="224"/>
      <c r="I232" s="225"/>
      <c r="J232" s="216"/>
      <c r="K232" s="146">
        <v>2160</v>
      </c>
      <c r="L232" s="214"/>
      <c r="M232" s="215"/>
      <c r="N232" s="215"/>
      <c r="O232" s="215"/>
      <c r="P232" s="215"/>
      <c r="Q232" s="215"/>
      <c r="R232" s="215"/>
      <c r="S232" s="215"/>
      <c r="T232" s="126" t="s">
        <v>428</v>
      </c>
      <c r="U232" s="112"/>
      <c r="V232" s="112"/>
      <c r="W232" s="112" t="s">
        <v>395</v>
      </c>
      <c r="X232" s="122">
        <v>1</v>
      </c>
      <c r="Y232" s="122" t="str">
        <f>IFERROR(VLOOKUP(V232,'[1]bang gia'!$B$1:$D$206,3,FALSE),"-")</f>
        <v>-</v>
      </c>
      <c r="Z232" s="124"/>
      <c r="AA232" s="121"/>
      <c r="AB232" s="120"/>
      <c r="AC232" s="212"/>
      <c r="AD232" s="212"/>
    </row>
    <row r="233" spans="1:31" s="123" customFormat="1" ht="34.15" customHeight="1">
      <c r="A233" s="216">
        <v>19</v>
      </c>
      <c r="B233" s="223" t="s">
        <v>620</v>
      </c>
      <c r="C233" s="217">
        <v>64</v>
      </c>
      <c r="D233" s="217">
        <v>509</v>
      </c>
      <c r="E233" s="218">
        <v>349.9</v>
      </c>
      <c r="F233" s="218" t="s">
        <v>26</v>
      </c>
      <c r="G233" s="220">
        <v>540</v>
      </c>
      <c r="H233" s="220"/>
      <c r="I233" s="220">
        <v>349.9</v>
      </c>
      <c r="J233" s="220">
        <v>1620</v>
      </c>
      <c r="K233" s="124"/>
      <c r="L233" s="214">
        <f>I233/J233*100</f>
        <v>21.598765432098762</v>
      </c>
      <c r="M233" s="215">
        <f>IF(L233&lt;10,2,IF(L233&lt;20,3,IF(L233&lt;30,5,IF(L233&gt;=70,12,IF(L233&gt;=30,6)))))</f>
        <v>5</v>
      </c>
      <c r="N233" s="215">
        <v>5</v>
      </c>
      <c r="O233" s="215">
        <f>$O$6</f>
        <v>80000</v>
      </c>
      <c r="P233" s="215">
        <f>I233*O233</f>
        <v>27992000</v>
      </c>
      <c r="Q233" s="215">
        <f>$Q$6*I233</f>
        <v>83976000</v>
      </c>
      <c r="R233" s="215">
        <f>M233*N233*$R$6</f>
        <v>12750000</v>
      </c>
      <c r="S233" s="215">
        <f>R233+Q233+P233</f>
        <v>124718000</v>
      </c>
      <c r="T233" s="94" t="s">
        <v>410</v>
      </c>
      <c r="U233" s="112">
        <v>25</v>
      </c>
      <c r="V233" s="127">
        <f>I233/25</f>
        <v>13.995999999999999</v>
      </c>
      <c r="W233" s="125" t="str">
        <f>'[1]bang gia'!$C$46</f>
        <v>đồng/cây</v>
      </c>
      <c r="X233" s="120">
        <v>3</v>
      </c>
      <c r="Y233" s="98"/>
      <c r="Z233" s="124"/>
      <c r="AA233" s="121"/>
      <c r="AB233" s="122"/>
      <c r="AC233" s="212">
        <f>SUM(AB233:AB248)</f>
        <v>60059200</v>
      </c>
      <c r="AD233" s="212">
        <f>AC233+S233</f>
        <v>184777200</v>
      </c>
      <c r="AE233" s="222" t="s">
        <v>492</v>
      </c>
    </row>
    <row r="234" spans="1:31" s="123" customFormat="1" ht="24.75" customHeight="1">
      <c r="A234" s="216"/>
      <c r="B234" s="223"/>
      <c r="C234" s="217"/>
      <c r="D234" s="217"/>
      <c r="E234" s="218"/>
      <c r="F234" s="218"/>
      <c r="G234" s="220"/>
      <c r="H234" s="220"/>
      <c r="I234" s="220"/>
      <c r="J234" s="220"/>
      <c r="K234" s="124"/>
      <c r="L234" s="214"/>
      <c r="M234" s="215"/>
      <c r="N234" s="215"/>
      <c r="O234" s="215"/>
      <c r="P234" s="215"/>
      <c r="Q234" s="215"/>
      <c r="R234" s="215"/>
      <c r="S234" s="215"/>
      <c r="T234" s="104" t="s">
        <v>399</v>
      </c>
      <c r="U234" s="112"/>
      <c r="V234" s="125"/>
      <c r="W234" s="125" t="str">
        <f>'[1]bang gia'!$C$46</f>
        <v>đồng/cây</v>
      </c>
      <c r="X234" s="120">
        <v>3</v>
      </c>
      <c r="Y234" s="98">
        <v>4500000</v>
      </c>
      <c r="Z234" s="124"/>
      <c r="AA234" s="121">
        <v>1</v>
      </c>
      <c r="AB234" s="122">
        <f t="shared" ref="AB234:AB240" si="11">X234*Y234*AA234</f>
        <v>13500000</v>
      </c>
      <c r="AC234" s="212"/>
      <c r="AD234" s="212"/>
      <c r="AE234" s="222"/>
    </row>
    <row r="235" spans="1:31" s="123" customFormat="1" ht="34.15" customHeight="1">
      <c r="A235" s="216"/>
      <c r="B235" s="223"/>
      <c r="C235" s="217"/>
      <c r="D235" s="217"/>
      <c r="E235" s="218"/>
      <c r="F235" s="218"/>
      <c r="G235" s="220"/>
      <c r="H235" s="220"/>
      <c r="I235" s="220"/>
      <c r="J235" s="220"/>
      <c r="K235" s="124"/>
      <c r="L235" s="214"/>
      <c r="M235" s="215"/>
      <c r="N235" s="215"/>
      <c r="O235" s="215"/>
      <c r="P235" s="215"/>
      <c r="Q235" s="215"/>
      <c r="R235" s="215"/>
      <c r="S235" s="215"/>
      <c r="T235" s="94" t="s">
        <v>621</v>
      </c>
      <c r="U235" s="129"/>
      <c r="V235" s="125"/>
      <c r="W235" s="125" t="str">
        <f>'[1]bang gia'!$C$45</f>
        <v>đồng/cây</v>
      </c>
      <c r="X235" s="120">
        <v>10</v>
      </c>
      <c r="Y235" s="120"/>
      <c r="Z235" s="124"/>
      <c r="AA235" s="121"/>
      <c r="AB235" s="122"/>
      <c r="AC235" s="212"/>
      <c r="AD235" s="212"/>
      <c r="AE235" s="222"/>
    </row>
    <row r="236" spans="1:31" s="123" customFormat="1" ht="24" customHeight="1">
      <c r="A236" s="216"/>
      <c r="B236" s="223"/>
      <c r="C236" s="217"/>
      <c r="D236" s="217"/>
      <c r="E236" s="218"/>
      <c r="F236" s="218"/>
      <c r="G236" s="220"/>
      <c r="H236" s="220"/>
      <c r="I236" s="220"/>
      <c r="J236" s="220"/>
      <c r="K236" s="124"/>
      <c r="L236" s="214"/>
      <c r="M236" s="215"/>
      <c r="N236" s="215"/>
      <c r="O236" s="215"/>
      <c r="P236" s="215"/>
      <c r="Q236" s="215"/>
      <c r="R236" s="215"/>
      <c r="S236" s="215"/>
      <c r="T236" s="104" t="s">
        <v>399</v>
      </c>
      <c r="U236" s="129"/>
      <c r="V236" s="125"/>
      <c r="W236" s="125" t="str">
        <f>'[1]bang gia'!$C$45</f>
        <v>đồng/cây</v>
      </c>
      <c r="X236" s="120">
        <v>10</v>
      </c>
      <c r="Y236" s="120">
        <v>3850000</v>
      </c>
      <c r="Z236" s="124"/>
      <c r="AA236" s="121">
        <v>1</v>
      </c>
      <c r="AB236" s="122">
        <f t="shared" si="11"/>
        <v>38500000</v>
      </c>
      <c r="AC236" s="212"/>
      <c r="AD236" s="212"/>
    </row>
    <row r="237" spans="1:31" s="123" customFormat="1" ht="41.25" customHeight="1">
      <c r="A237" s="216"/>
      <c r="B237" s="223"/>
      <c r="C237" s="217"/>
      <c r="D237" s="217"/>
      <c r="E237" s="218"/>
      <c r="F237" s="218"/>
      <c r="G237" s="220"/>
      <c r="H237" s="220"/>
      <c r="I237" s="220"/>
      <c r="J237" s="220"/>
      <c r="K237" s="124"/>
      <c r="L237" s="214"/>
      <c r="M237" s="215"/>
      <c r="N237" s="215"/>
      <c r="O237" s="215"/>
      <c r="P237" s="215"/>
      <c r="Q237" s="215"/>
      <c r="R237" s="215"/>
      <c r="S237" s="215"/>
      <c r="T237" s="126" t="s">
        <v>653</v>
      </c>
      <c r="U237" s="112"/>
      <c r="V237" s="125"/>
      <c r="W237" s="125" t="str">
        <f>'[1]bang gia'!$C$43</f>
        <v>đồng/cây</v>
      </c>
      <c r="X237" s="120">
        <v>9</v>
      </c>
      <c r="Y237" s="120"/>
      <c r="Z237" s="124"/>
      <c r="AA237" s="121"/>
      <c r="AB237" s="122"/>
      <c r="AC237" s="212"/>
      <c r="AD237" s="212"/>
    </row>
    <row r="238" spans="1:31" s="123" customFormat="1" ht="22.5" customHeight="1">
      <c r="A238" s="216"/>
      <c r="B238" s="223"/>
      <c r="C238" s="217"/>
      <c r="D238" s="217"/>
      <c r="E238" s="218"/>
      <c r="F238" s="218"/>
      <c r="G238" s="220"/>
      <c r="H238" s="220"/>
      <c r="I238" s="220"/>
      <c r="J238" s="220"/>
      <c r="K238" s="124"/>
      <c r="L238" s="214"/>
      <c r="M238" s="215"/>
      <c r="N238" s="215"/>
      <c r="O238" s="215"/>
      <c r="P238" s="215"/>
      <c r="Q238" s="215"/>
      <c r="R238" s="215"/>
      <c r="S238" s="215"/>
      <c r="T238" s="104" t="s">
        <v>399</v>
      </c>
      <c r="U238" s="112"/>
      <c r="V238" s="125"/>
      <c r="W238" s="125" t="str">
        <f>'[1]bang gia'!$C$43</f>
        <v>đồng/cây</v>
      </c>
      <c r="X238" s="120">
        <f>V233-X234-X236</f>
        <v>0.99599999999999866</v>
      </c>
      <c r="Y238" s="120">
        <v>2700000</v>
      </c>
      <c r="Z238" s="124"/>
      <c r="AA238" s="121">
        <v>1</v>
      </c>
      <c r="AB238" s="122">
        <f t="shared" si="11"/>
        <v>2689199.9999999963</v>
      </c>
      <c r="AC238" s="212"/>
      <c r="AD238" s="212"/>
    </row>
    <row r="239" spans="1:31" s="123" customFormat="1" ht="22.5" customHeight="1">
      <c r="A239" s="216"/>
      <c r="B239" s="223"/>
      <c r="C239" s="217"/>
      <c r="D239" s="217"/>
      <c r="E239" s="218"/>
      <c r="F239" s="218"/>
      <c r="G239" s="220"/>
      <c r="H239" s="220"/>
      <c r="I239" s="220"/>
      <c r="J239" s="220"/>
      <c r="K239" s="124"/>
      <c r="L239" s="214"/>
      <c r="M239" s="215"/>
      <c r="N239" s="215"/>
      <c r="O239" s="215"/>
      <c r="P239" s="215"/>
      <c r="Q239" s="215"/>
      <c r="R239" s="215"/>
      <c r="S239" s="215"/>
      <c r="T239" s="104" t="s">
        <v>401</v>
      </c>
      <c r="U239" s="112"/>
      <c r="V239" s="125">
        <f>8*0.3</f>
        <v>2.4</v>
      </c>
      <c r="W239" s="125" t="str">
        <f>'[1]bang gia'!$C$43</f>
        <v>đồng/cây</v>
      </c>
      <c r="X239" s="120">
        <v>2</v>
      </c>
      <c r="Y239" s="120">
        <v>2700000</v>
      </c>
      <c r="Z239" s="124"/>
      <c r="AA239" s="128">
        <v>0.3</v>
      </c>
      <c r="AB239" s="122">
        <f t="shared" si="11"/>
        <v>1620000</v>
      </c>
      <c r="AC239" s="212"/>
      <c r="AD239" s="212"/>
    </row>
    <row r="240" spans="1:31" s="123" customFormat="1" ht="22.5" customHeight="1">
      <c r="A240" s="216"/>
      <c r="B240" s="223"/>
      <c r="C240" s="217"/>
      <c r="D240" s="217"/>
      <c r="E240" s="218"/>
      <c r="F240" s="218"/>
      <c r="G240" s="220"/>
      <c r="H240" s="220"/>
      <c r="I240" s="220"/>
      <c r="J240" s="220"/>
      <c r="K240" s="124"/>
      <c r="L240" s="214"/>
      <c r="M240" s="215"/>
      <c r="N240" s="215"/>
      <c r="O240" s="215"/>
      <c r="P240" s="215"/>
      <c r="Q240" s="215"/>
      <c r="R240" s="215"/>
      <c r="S240" s="215"/>
      <c r="T240" s="104" t="s">
        <v>402</v>
      </c>
      <c r="U240" s="112"/>
      <c r="V240" s="125"/>
      <c r="W240" s="125" t="str">
        <f>'[1]bang gia'!$C$43</f>
        <v>đồng/cây</v>
      </c>
      <c r="X240" s="120">
        <f>X237-X238*X239</f>
        <v>7.0080000000000027</v>
      </c>
      <c r="Y240" s="120">
        <v>2700000</v>
      </c>
      <c r="Z240" s="124"/>
      <c r="AA240" s="128">
        <v>0</v>
      </c>
      <c r="AB240" s="122">
        <f t="shared" si="11"/>
        <v>0</v>
      </c>
      <c r="AC240" s="212"/>
      <c r="AD240" s="212"/>
    </row>
    <row r="241" spans="1:31" s="123" customFormat="1" ht="38.25" customHeight="1">
      <c r="A241" s="216"/>
      <c r="B241" s="223"/>
      <c r="C241" s="217"/>
      <c r="D241" s="217"/>
      <c r="E241" s="218"/>
      <c r="F241" s="218"/>
      <c r="G241" s="220"/>
      <c r="H241" s="220"/>
      <c r="I241" s="220"/>
      <c r="J241" s="220"/>
      <c r="K241" s="124"/>
      <c r="L241" s="214"/>
      <c r="M241" s="215"/>
      <c r="N241" s="215"/>
      <c r="O241" s="215"/>
      <c r="P241" s="215"/>
      <c r="Q241" s="215"/>
      <c r="R241" s="215"/>
      <c r="S241" s="215"/>
      <c r="T241" s="126" t="s">
        <v>622</v>
      </c>
      <c r="U241" s="112">
        <v>20</v>
      </c>
      <c r="V241" s="127">
        <f>I233/20*0.3</f>
        <v>5.2484999999999991</v>
      </c>
      <c r="W241" s="125" t="str">
        <f>'[1]bang gia'!$C$51</f>
        <v>đồng/cây</v>
      </c>
      <c r="X241" s="120">
        <v>9</v>
      </c>
      <c r="Y241" s="120"/>
      <c r="Z241" s="124"/>
      <c r="AA241" s="121"/>
      <c r="AB241" s="122"/>
      <c r="AC241" s="212"/>
      <c r="AD241" s="212"/>
    </row>
    <row r="242" spans="1:31" s="123" customFormat="1" ht="21.75" customHeight="1">
      <c r="A242" s="216"/>
      <c r="B242" s="223"/>
      <c r="C242" s="217"/>
      <c r="D242" s="217"/>
      <c r="E242" s="218"/>
      <c r="F242" s="218"/>
      <c r="G242" s="220"/>
      <c r="H242" s="220"/>
      <c r="I242" s="220"/>
      <c r="J242" s="220"/>
      <c r="K242" s="124"/>
      <c r="L242" s="214"/>
      <c r="M242" s="215"/>
      <c r="N242" s="215"/>
      <c r="O242" s="215"/>
      <c r="P242" s="215"/>
      <c r="Q242" s="215"/>
      <c r="R242" s="215"/>
      <c r="S242" s="215"/>
      <c r="T242" s="104" t="s">
        <v>399</v>
      </c>
      <c r="U242" s="112"/>
      <c r="V242" s="127"/>
      <c r="W242" s="125" t="str">
        <f>'[1]bang gia'!$C$51</f>
        <v>đồng/cây</v>
      </c>
      <c r="X242" s="120">
        <v>5</v>
      </c>
      <c r="Y242" s="120">
        <v>2500000</v>
      </c>
      <c r="Z242" s="124"/>
      <c r="AA242" s="128">
        <v>0.3</v>
      </c>
      <c r="AB242" s="122">
        <f>X242*Y242*AA242</f>
        <v>3750000</v>
      </c>
      <c r="AC242" s="212"/>
      <c r="AD242" s="212"/>
    </row>
    <row r="243" spans="1:31" s="123" customFormat="1" ht="24" customHeight="1">
      <c r="A243" s="216"/>
      <c r="B243" s="223"/>
      <c r="C243" s="217"/>
      <c r="D243" s="217"/>
      <c r="E243" s="218"/>
      <c r="F243" s="218"/>
      <c r="G243" s="220"/>
      <c r="H243" s="220"/>
      <c r="I243" s="220"/>
      <c r="J243" s="220"/>
      <c r="K243" s="124"/>
      <c r="L243" s="214"/>
      <c r="M243" s="215"/>
      <c r="N243" s="215"/>
      <c r="O243" s="215"/>
      <c r="P243" s="215"/>
      <c r="Q243" s="215"/>
      <c r="R243" s="215"/>
      <c r="S243" s="215"/>
      <c r="T243" s="104" t="s">
        <v>417</v>
      </c>
      <c r="U243" s="112"/>
      <c r="V243" s="127"/>
      <c r="W243" s="125" t="str">
        <f>'[1]bang gia'!$C$51</f>
        <v>đồng/cây</v>
      </c>
      <c r="X243" s="120">
        <f>X241-X242</f>
        <v>4</v>
      </c>
      <c r="Y243" s="120">
        <v>2500000</v>
      </c>
      <c r="Z243" s="124"/>
      <c r="AA243" s="128">
        <v>0</v>
      </c>
      <c r="AB243" s="122">
        <f>X243*Y243*AA243</f>
        <v>0</v>
      </c>
      <c r="AC243" s="212"/>
      <c r="AD243" s="212"/>
    </row>
    <row r="244" spans="1:31" s="123" customFormat="1" ht="34.15" customHeight="1">
      <c r="A244" s="216"/>
      <c r="B244" s="223"/>
      <c r="C244" s="217"/>
      <c r="D244" s="217"/>
      <c r="E244" s="218"/>
      <c r="F244" s="218"/>
      <c r="G244" s="220"/>
      <c r="H244" s="220"/>
      <c r="I244" s="220"/>
      <c r="J244" s="220"/>
      <c r="K244" s="124"/>
      <c r="L244" s="214"/>
      <c r="M244" s="215"/>
      <c r="N244" s="215"/>
      <c r="O244" s="215"/>
      <c r="P244" s="215"/>
      <c r="Q244" s="215"/>
      <c r="R244" s="215"/>
      <c r="S244" s="215"/>
      <c r="T244" s="94" t="s">
        <v>623</v>
      </c>
      <c r="U244" s="129"/>
      <c r="V244" s="125"/>
      <c r="W244" s="125" t="str">
        <f>'[1]bang gia'!$C$51</f>
        <v>đồng/cây</v>
      </c>
      <c r="X244" s="120">
        <v>20</v>
      </c>
      <c r="Y244" s="120"/>
      <c r="Z244" s="124"/>
      <c r="AA244" s="128">
        <v>0</v>
      </c>
      <c r="AB244" s="122">
        <f>X244*Y244*AA244</f>
        <v>0</v>
      </c>
      <c r="AC244" s="212"/>
      <c r="AD244" s="212"/>
    </row>
    <row r="245" spans="1:31" s="123" customFormat="1" ht="24" customHeight="1">
      <c r="A245" s="216"/>
      <c r="B245" s="223"/>
      <c r="C245" s="217"/>
      <c r="D245" s="217"/>
      <c r="E245" s="218"/>
      <c r="F245" s="218"/>
      <c r="G245" s="220"/>
      <c r="H245" s="220"/>
      <c r="I245" s="220"/>
      <c r="J245" s="220"/>
      <c r="K245" s="124"/>
      <c r="L245" s="214"/>
      <c r="M245" s="215"/>
      <c r="N245" s="215"/>
      <c r="O245" s="215"/>
      <c r="P245" s="215"/>
      <c r="Q245" s="215"/>
      <c r="R245" s="215"/>
      <c r="S245" s="215"/>
      <c r="T245" s="94" t="s">
        <v>624</v>
      </c>
      <c r="U245" s="129"/>
      <c r="V245" s="125"/>
      <c r="W245" s="125" t="str">
        <f>'[1]bang gia'!$C$51</f>
        <v>đồng/cây</v>
      </c>
      <c r="X245" s="120">
        <v>11</v>
      </c>
      <c r="Y245" s="120"/>
      <c r="Z245" s="124"/>
      <c r="AA245" s="128">
        <v>0</v>
      </c>
      <c r="AB245" s="122">
        <f>X245*Y245*AA245</f>
        <v>0</v>
      </c>
      <c r="AC245" s="212"/>
      <c r="AD245" s="212"/>
    </row>
    <row r="246" spans="1:31" s="123" customFormat="1" ht="25.5" customHeight="1">
      <c r="A246" s="216"/>
      <c r="B246" s="223"/>
      <c r="C246" s="217"/>
      <c r="D246" s="217"/>
      <c r="E246" s="218"/>
      <c r="F246" s="218"/>
      <c r="G246" s="220"/>
      <c r="H246" s="220"/>
      <c r="I246" s="220"/>
      <c r="J246" s="220"/>
      <c r="K246" s="124"/>
      <c r="L246" s="214"/>
      <c r="M246" s="215"/>
      <c r="N246" s="215"/>
      <c r="O246" s="215"/>
      <c r="P246" s="215"/>
      <c r="Q246" s="215"/>
      <c r="R246" s="215"/>
      <c r="S246" s="215"/>
      <c r="T246" s="126" t="s">
        <v>625</v>
      </c>
      <c r="U246" s="112"/>
      <c r="V246" s="125"/>
      <c r="W246" s="125"/>
      <c r="X246" s="120" t="s">
        <v>626</v>
      </c>
      <c r="Y246" s="120"/>
      <c r="Z246" s="124"/>
      <c r="AA246" s="121"/>
      <c r="AB246" s="120"/>
      <c r="AC246" s="212"/>
      <c r="AD246" s="212"/>
    </row>
    <row r="247" spans="1:31" s="123" customFormat="1" ht="25.5" customHeight="1">
      <c r="A247" s="216"/>
      <c r="B247" s="223"/>
      <c r="C247" s="217"/>
      <c r="D247" s="217"/>
      <c r="E247" s="218"/>
      <c r="F247" s="218"/>
      <c r="G247" s="220"/>
      <c r="H247" s="220"/>
      <c r="I247" s="220"/>
      <c r="J247" s="220"/>
      <c r="K247" s="124"/>
      <c r="L247" s="214"/>
      <c r="M247" s="215"/>
      <c r="N247" s="215"/>
      <c r="O247" s="215"/>
      <c r="P247" s="215"/>
      <c r="Q247" s="215"/>
      <c r="R247" s="215"/>
      <c r="S247" s="215"/>
      <c r="T247" s="126" t="s">
        <v>627</v>
      </c>
      <c r="U247" s="112"/>
      <c r="V247" s="125"/>
      <c r="W247" s="125" t="s">
        <v>501</v>
      </c>
      <c r="X247" s="134">
        <v>1.08</v>
      </c>
      <c r="Y247" s="120"/>
      <c r="Z247" s="124"/>
      <c r="AA247" s="121"/>
      <c r="AB247" s="120"/>
      <c r="AC247" s="212"/>
      <c r="AD247" s="212"/>
    </row>
    <row r="248" spans="1:31" s="123" customFormat="1" ht="25.5" customHeight="1">
      <c r="A248" s="216"/>
      <c r="B248" s="223"/>
      <c r="C248" s="217"/>
      <c r="D248" s="217"/>
      <c r="E248" s="218"/>
      <c r="F248" s="218"/>
      <c r="G248" s="220"/>
      <c r="H248" s="220"/>
      <c r="I248" s="220"/>
      <c r="J248" s="220"/>
      <c r="K248" s="124"/>
      <c r="L248" s="214"/>
      <c r="M248" s="215"/>
      <c r="N248" s="215"/>
      <c r="O248" s="215"/>
      <c r="P248" s="215"/>
      <c r="Q248" s="215"/>
      <c r="R248" s="215"/>
      <c r="S248" s="215"/>
      <c r="T248" s="126" t="s">
        <v>628</v>
      </c>
      <c r="U248" s="112"/>
      <c r="V248" s="112"/>
      <c r="W248" s="112" t="s">
        <v>395</v>
      </c>
      <c r="X248" s="122">
        <v>1</v>
      </c>
      <c r="Y248" s="120"/>
      <c r="Z248" s="124"/>
      <c r="AA248" s="121"/>
      <c r="AB248" s="120"/>
      <c r="AC248" s="212"/>
      <c r="AD248" s="212"/>
    </row>
    <row r="249" spans="1:31" s="123" customFormat="1" ht="36.75" customHeight="1">
      <c r="A249" s="216">
        <v>20</v>
      </c>
      <c r="B249" s="221" t="s">
        <v>629</v>
      </c>
      <c r="C249" s="217">
        <v>64</v>
      </c>
      <c r="D249" s="217">
        <v>337</v>
      </c>
      <c r="E249" s="218">
        <v>384.4</v>
      </c>
      <c r="F249" s="218" t="s">
        <v>393</v>
      </c>
      <c r="G249" s="220">
        <v>360</v>
      </c>
      <c r="H249" s="220">
        <f>E249-G249</f>
        <v>24.399999999999977</v>
      </c>
      <c r="I249" s="220">
        <v>360</v>
      </c>
      <c r="J249" s="220">
        <v>360</v>
      </c>
      <c r="K249" s="124"/>
      <c r="L249" s="214">
        <f>I249/J249*100</f>
        <v>100</v>
      </c>
      <c r="M249" s="215">
        <f>IF(L249&lt;10,2,IF(L249&lt;20,3,IF(L249&lt;30,5,IF(L249&gt;=70,12,IF(L249&gt;=30,6)))))</f>
        <v>12</v>
      </c>
      <c r="N249" s="215">
        <v>4</v>
      </c>
      <c r="O249" s="215">
        <f>$O$6</f>
        <v>80000</v>
      </c>
      <c r="P249" s="215">
        <f>I249*O249</f>
        <v>28800000</v>
      </c>
      <c r="Q249" s="215">
        <f>$Q$6*I249</f>
        <v>86400000</v>
      </c>
      <c r="R249" s="215">
        <f>M249*N249*$R$6</f>
        <v>24480000</v>
      </c>
      <c r="S249" s="215">
        <f>R249+Q249+P249</f>
        <v>139680000</v>
      </c>
      <c r="T249" s="117" t="s">
        <v>491</v>
      </c>
      <c r="U249" s="112"/>
      <c r="V249" s="125"/>
      <c r="W249" s="118" t="s">
        <v>0</v>
      </c>
      <c r="X249" s="120">
        <v>290</v>
      </c>
      <c r="Y249" s="120">
        <v>97000</v>
      </c>
      <c r="Z249" s="124"/>
      <c r="AA249" s="121">
        <v>1</v>
      </c>
      <c r="AB249" s="122">
        <f>X249*Y249*AA249</f>
        <v>28130000</v>
      </c>
      <c r="AC249" s="212">
        <f>SUM(AB249:AB254)</f>
        <v>42380000</v>
      </c>
      <c r="AD249" s="212">
        <f>AC249+S249</f>
        <v>182060000</v>
      </c>
    </row>
    <row r="250" spans="1:31" s="123" customFormat="1" ht="36" customHeight="1">
      <c r="A250" s="216"/>
      <c r="B250" s="221"/>
      <c r="C250" s="217"/>
      <c r="D250" s="217"/>
      <c r="E250" s="218"/>
      <c r="F250" s="218"/>
      <c r="G250" s="220"/>
      <c r="H250" s="220"/>
      <c r="I250" s="220"/>
      <c r="J250" s="220"/>
      <c r="K250" s="124"/>
      <c r="L250" s="214"/>
      <c r="M250" s="215"/>
      <c r="N250" s="215"/>
      <c r="O250" s="215"/>
      <c r="P250" s="215"/>
      <c r="Q250" s="215"/>
      <c r="R250" s="215"/>
      <c r="S250" s="215"/>
      <c r="T250" s="126" t="s">
        <v>493</v>
      </c>
      <c r="U250" s="112">
        <f>25</f>
        <v>25</v>
      </c>
      <c r="V250" s="125">
        <f>70/U250</f>
        <v>2.8</v>
      </c>
      <c r="W250" s="125" t="str">
        <f>'[1]bang gia'!$C$46</f>
        <v>đồng/cây</v>
      </c>
      <c r="X250" s="120">
        <v>3</v>
      </c>
      <c r="Y250" s="120"/>
      <c r="Z250" s="124"/>
      <c r="AA250" s="121"/>
      <c r="AB250" s="122"/>
      <c r="AC250" s="212"/>
      <c r="AD250" s="212"/>
      <c r="AE250" s="123" t="s">
        <v>630</v>
      </c>
    </row>
    <row r="251" spans="1:31" s="123" customFormat="1" ht="27" customHeight="1">
      <c r="A251" s="216"/>
      <c r="B251" s="221"/>
      <c r="C251" s="217"/>
      <c r="D251" s="217"/>
      <c r="E251" s="218"/>
      <c r="F251" s="218"/>
      <c r="G251" s="220"/>
      <c r="H251" s="220"/>
      <c r="I251" s="220"/>
      <c r="J251" s="220"/>
      <c r="K251" s="124"/>
      <c r="L251" s="214"/>
      <c r="M251" s="215"/>
      <c r="N251" s="215"/>
      <c r="O251" s="215"/>
      <c r="P251" s="215"/>
      <c r="Q251" s="215"/>
      <c r="R251" s="215"/>
      <c r="S251" s="215"/>
      <c r="T251" s="104" t="s">
        <v>399</v>
      </c>
      <c r="U251" s="112"/>
      <c r="V251" s="125"/>
      <c r="W251" s="125" t="str">
        <f>'[1]bang gia'!$C$46</f>
        <v>đồng/cây</v>
      </c>
      <c r="X251" s="120">
        <v>3</v>
      </c>
      <c r="Y251" s="120">
        <v>4500000</v>
      </c>
      <c r="Z251" s="124"/>
      <c r="AA251" s="121">
        <v>1</v>
      </c>
      <c r="AB251" s="122">
        <f>X251*Y251*AA251</f>
        <v>13500000</v>
      </c>
      <c r="AC251" s="212"/>
      <c r="AD251" s="212"/>
    </row>
    <row r="252" spans="1:31" s="123" customFormat="1" ht="37.5" customHeight="1">
      <c r="A252" s="216"/>
      <c r="B252" s="221"/>
      <c r="C252" s="217"/>
      <c r="D252" s="217"/>
      <c r="E252" s="218"/>
      <c r="F252" s="218"/>
      <c r="G252" s="220"/>
      <c r="H252" s="220"/>
      <c r="I252" s="220"/>
      <c r="J252" s="220"/>
      <c r="K252" s="124"/>
      <c r="L252" s="214"/>
      <c r="M252" s="215"/>
      <c r="N252" s="215"/>
      <c r="O252" s="215"/>
      <c r="P252" s="215"/>
      <c r="Q252" s="215"/>
      <c r="R252" s="215"/>
      <c r="S252" s="215"/>
      <c r="T252" s="94" t="s">
        <v>631</v>
      </c>
      <c r="U252" s="112">
        <v>20</v>
      </c>
      <c r="V252" s="125">
        <f>70/U252</f>
        <v>3.5</v>
      </c>
      <c r="W252" s="125" t="str">
        <f>'[1]bang gia'!$C$46</f>
        <v>đồng/cây</v>
      </c>
      <c r="X252" s="120">
        <v>1</v>
      </c>
      <c r="Y252" s="120"/>
      <c r="Z252" s="124"/>
      <c r="AA252" s="121"/>
      <c r="AB252" s="122"/>
      <c r="AC252" s="212"/>
      <c r="AD252" s="212"/>
    </row>
    <row r="253" spans="1:31" s="123" customFormat="1" ht="27" customHeight="1">
      <c r="A253" s="216"/>
      <c r="B253" s="221"/>
      <c r="C253" s="217"/>
      <c r="D253" s="217"/>
      <c r="E253" s="218"/>
      <c r="F253" s="218"/>
      <c r="G253" s="220"/>
      <c r="H253" s="220"/>
      <c r="I253" s="220"/>
      <c r="J253" s="220"/>
      <c r="K253" s="124"/>
      <c r="L253" s="214"/>
      <c r="M253" s="215"/>
      <c r="N253" s="215"/>
      <c r="O253" s="215"/>
      <c r="P253" s="215"/>
      <c r="Q253" s="215"/>
      <c r="R253" s="215"/>
      <c r="S253" s="215"/>
      <c r="T253" s="104" t="s">
        <v>399</v>
      </c>
      <c r="U253" s="112"/>
      <c r="V253" s="125"/>
      <c r="W253" s="125" t="str">
        <f>'[1]bang gia'!$C$46</f>
        <v>đồng/cây</v>
      </c>
      <c r="X253" s="120">
        <v>1</v>
      </c>
      <c r="Y253" s="98">
        <v>2500000</v>
      </c>
      <c r="Z253" s="105"/>
      <c r="AA253" s="131">
        <v>0.3</v>
      </c>
      <c r="AB253" s="97">
        <f>X253*Y253*AA253</f>
        <v>750000</v>
      </c>
      <c r="AC253" s="212"/>
      <c r="AD253" s="212"/>
    </row>
    <row r="254" spans="1:31" s="123" customFormat="1" ht="24" customHeight="1">
      <c r="A254" s="216"/>
      <c r="B254" s="221"/>
      <c r="C254" s="217"/>
      <c r="D254" s="217"/>
      <c r="E254" s="218"/>
      <c r="F254" s="218"/>
      <c r="G254" s="220"/>
      <c r="H254" s="220"/>
      <c r="I254" s="220"/>
      <c r="J254" s="220"/>
      <c r="K254" s="124"/>
      <c r="L254" s="214"/>
      <c r="M254" s="215"/>
      <c r="N254" s="215"/>
      <c r="O254" s="215"/>
      <c r="P254" s="215"/>
      <c r="Q254" s="215"/>
      <c r="R254" s="215"/>
      <c r="S254" s="215"/>
      <c r="T254" s="126" t="s">
        <v>632</v>
      </c>
      <c r="U254" s="112"/>
      <c r="V254" s="125"/>
      <c r="W254" s="125" t="s">
        <v>7</v>
      </c>
      <c r="X254" s="120"/>
      <c r="Y254" s="120"/>
      <c r="Z254" s="124"/>
      <c r="AA254" s="121"/>
      <c r="AB254" s="122"/>
      <c r="AC254" s="212"/>
      <c r="AD254" s="212"/>
    </row>
    <row r="255" spans="1:31" s="123" customFormat="1" ht="36" customHeight="1">
      <c r="A255" s="216">
        <v>21</v>
      </c>
      <c r="B255" s="217" t="s">
        <v>633</v>
      </c>
      <c r="C255" s="217">
        <v>64</v>
      </c>
      <c r="D255" s="217">
        <v>797</v>
      </c>
      <c r="E255" s="218">
        <v>383.9</v>
      </c>
      <c r="F255" s="218" t="s">
        <v>393</v>
      </c>
      <c r="G255" s="220">
        <v>360</v>
      </c>
      <c r="H255" s="220">
        <v>36.9</v>
      </c>
      <c r="I255" s="220">
        <v>360</v>
      </c>
      <c r="J255" s="220">
        <v>360</v>
      </c>
      <c r="K255" s="124"/>
      <c r="L255" s="214">
        <f>I255/J255*100</f>
        <v>100</v>
      </c>
      <c r="M255" s="215">
        <f>IF(L255&lt;10,2,IF(L255&lt;20,3,IF(L255&lt;30,5,IF(L255&gt;=70,12,IF(L255&gt;=30,6)))))</f>
        <v>12</v>
      </c>
      <c r="N255" s="215">
        <v>1</v>
      </c>
      <c r="O255" s="215">
        <f>$O$6</f>
        <v>80000</v>
      </c>
      <c r="P255" s="215">
        <f>I255*O255</f>
        <v>28800000</v>
      </c>
      <c r="Q255" s="215">
        <f>$Q$6*I255</f>
        <v>86400000</v>
      </c>
      <c r="R255" s="215">
        <f>M255*N255*$R$6</f>
        <v>6120000</v>
      </c>
      <c r="S255" s="215">
        <f>R255+Q255+P255</f>
        <v>121320000</v>
      </c>
      <c r="T255" s="117" t="s">
        <v>491</v>
      </c>
      <c r="U255" s="112"/>
      <c r="V255" s="125"/>
      <c r="W255" s="118" t="s">
        <v>0</v>
      </c>
      <c r="X255" s="119">
        <v>135</v>
      </c>
      <c r="Y255" s="120">
        <v>97000</v>
      </c>
      <c r="Z255" s="124"/>
      <c r="AA255" s="121">
        <v>1</v>
      </c>
      <c r="AB255" s="122">
        <f>X255*Y255*AA255</f>
        <v>13095000</v>
      </c>
      <c r="AC255" s="212">
        <f>SUM(AB255:AB265)</f>
        <v>52450000</v>
      </c>
      <c r="AD255" s="212">
        <f>AC255+S255</f>
        <v>173770000</v>
      </c>
      <c r="AE255" s="123" t="s">
        <v>407</v>
      </c>
    </row>
    <row r="256" spans="1:31" s="123" customFormat="1" ht="36" customHeight="1">
      <c r="A256" s="216"/>
      <c r="B256" s="217"/>
      <c r="C256" s="217"/>
      <c r="D256" s="217"/>
      <c r="E256" s="218"/>
      <c r="F256" s="218"/>
      <c r="G256" s="220"/>
      <c r="H256" s="220"/>
      <c r="I256" s="220"/>
      <c r="J256" s="220"/>
      <c r="K256" s="124"/>
      <c r="L256" s="214"/>
      <c r="M256" s="215"/>
      <c r="N256" s="215"/>
      <c r="O256" s="215"/>
      <c r="P256" s="215"/>
      <c r="Q256" s="215"/>
      <c r="R256" s="215"/>
      <c r="S256" s="215"/>
      <c r="T256" s="126" t="s">
        <v>634</v>
      </c>
      <c r="U256" s="112">
        <v>25</v>
      </c>
      <c r="V256" s="127">
        <f>(G255-X255)/25</f>
        <v>9</v>
      </c>
      <c r="W256" s="125" t="str">
        <f>'[1]bang gia'!$C$46</f>
        <v>đồng/cây</v>
      </c>
      <c r="X256" s="120">
        <v>2</v>
      </c>
      <c r="Y256" s="120"/>
      <c r="Z256" s="124"/>
      <c r="AA256" s="121"/>
      <c r="AB256" s="120"/>
      <c r="AC256" s="212"/>
      <c r="AD256" s="212"/>
    </row>
    <row r="257" spans="1:31" s="123" customFormat="1" ht="21" customHeight="1">
      <c r="A257" s="216"/>
      <c r="B257" s="217"/>
      <c r="C257" s="217"/>
      <c r="D257" s="217"/>
      <c r="E257" s="218"/>
      <c r="F257" s="218"/>
      <c r="G257" s="220"/>
      <c r="H257" s="220"/>
      <c r="I257" s="220"/>
      <c r="J257" s="220"/>
      <c r="K257" s="124"/>
      <c r="L257" s="214"/>
      <c r="M257" s="215"/>
      <c r="N257" s="215"/>
      <c r="O257" s="215"/>
      <c r="P257" s="215"/>
      <c r="Q257" s="215"/>
      <c r="R257" s="215"/>
      <c r="S257" s="215"/>
      <c r="T257" s="104" t="s">
        <v>399</v>
      </c>
      <c r="U257" s="112"/>
      <c r="V257" s="125"/>
      <c r="W257" s="125" t="str">
        <f>'[1]bang gia'!$C$46</f>
        <v>đồng/cây</v>
      </c>
      <c r="X257" s="120">
        <v>2</v>
      </c>
      <c r="Y257" s="120">
        <v>4500000</v>
      </c>
      <c r="Z257" s="124"/>
      <c r="AA257" s="121">
        <v>1</v>
      </c>
      <c r="AB257" s="122">
        <f>X257*Y257*AA257</f>
        <v>9000000</v>
      </c>
      <c r="AC257" s="212"/>
      <c r="AD257" s="212"/>
    </row>
    <row r="258" spans="1:31" s="123" customFormat="1" ht="39" customHeight="1">
      <c r="A258" s="216"/>
      <c r="B258" s="217"/>
      <c r="C258" s="217"/>
      <c r="D258" s="217"/>
      <c r="E258" s="218"/>
      <c r="F258" s="218"/>
      <c r="G258" s="220"/>
      <c r="H258" s="220"/>
      <c r="I258" s="220"/>
      <c r="J258" s="220"/>
      <c r="K258" s="124"/>
      <c r="L258" s="214"/>
      <c r="M258" s="215"/>
      <c r="N258" s="215"/>
      <c r="O258" s="215"/>
      <c r="P258" s="215"/>
      <c r="Q258" s="215"/>
      <c r="R258" s="215"/>
      <c r="S258" s="215"/>
      <c r="T258" s="104" t="s">
        <v>635</v>
      </c>
      <c r="U258" s="112"/>
      <c r="V258" s="125"/>
      <c r="W258" s="125" t="str">
        <f>'[1]bang gia'!$C$46</f>
        <v>đồng/cây</v>
      </c>
      <c r="X258" s="120">
        <v>10</v>
      </c>
      <c r="Y258" s="120"/>
      <c r="Z258" s="124"/>
      <c r="AA258" s="121"/>
      <c r="AB258" s="122"/>
      <c r="AC258" s="212"/>
      <c r="AD258" s="212"/>
    </row>
    <row r="259" spans="1:31" s="123" customFormat="1" ht="24" customHeight="1">
      <c r="A259" s="216"/>
      <c r="B259" s="217"/>
      <c r="C259" s="217"/>
      <c r="D259" s="217"/>
      <c r="E259" s="218"/>
      <c r="F259" s="218"/>
      <c r="G259" s="220"/>
      <c r="H259" s="220"/>
      <c r="I259" s="220"/>
      <c r="J259" s="220"/>
      <c r="K259" s="124"/>
      <c r="L259" s="214"/>
      <c r="M259" s="215"/>
      <c r="N259" s="215"/>
      <c r="O259" s="215"/>
      <c r="P259" s="215"/>
      <c r="Q259" s="215"/>
      <c r="R259" s="215"/>
      <c r="S259" s="215"/>
      <c r="T259" s="104" t="s">
        <v>399</v>
      </c>
      <c r="U259" s="112"/>
      <c r="V259" s="125"/>
      <c r="W259" s="125" t="str">
        <f>'[1]bang gia'!$C$46</f>
        <v>đồng/cây</v>
      </c>
      <c r="X259" s="120">
        <v>7</v>
      </c>
      <c r="Y259" s="120">
        <v>3850000</v>
      </c>
      <c r="Z259" s="124"/>
      <c r="AA259" s="121">
        <v>1</v>
      </c>
      <c r="AB259" s="122">
        <f>X259*Y259*AA259</f>
        <v>26950000</v>
      </c>
      <c r="AC259" s="212"/>
      <c r="AD259" s="212"/>
    </row>
    <row r="260" spans="1:31" s="123" customFormat="1" ht="24" customHeight="1">
      <c r="A260" s="216"/>
      <c r="B260" s="217"/>
      <c r="C260" s="217"/>
      <c r="D260" s="217"/>
      <c r="E260" s="218"/>
      <c r="F260" s="218"/>
      <c r="G260" s="220"/>
      <c r="H260" s="220"/>
      <c r="I260" s="220"/>
      <c r="J260" s="220"/>
      <c r="K260" s="124"/>
      <c r="L260" s="214"/>
      <c r="M260" s="215"/>
      <c r="N260" s="215"/>
      <c r="O260" s="215"/>
      <c r="P260" s="215"/>
      <c r="Q260" s="215"/>
      <c r="R260" s="215"/>
      <c r="S260" s="215"/>
      <c r="T260" s="104" t="s">
        <v>401</v>
      </c>
      <c r="U260" s="112"/>
      <c r="V260" s="125">
        <f>3*0.3</f>
        <v>0.89999999999999991</v>
      </c>
      <c r="W260" s="125" t="str">
        <f>'[1]bang gia'!$C$46</f>
        <v>đồng/cây</v>
      </c>
      <c r="X260" s="120">
        <v>1</v>
      </c>
      <c r="Y260" s="120">
        <v>3850000</v>
      </c>
      <c r="Z260" s="124"/>
      <c r="AA260" s="128">
        <v>0.3</v>
      </c>
      <c r="AB260" s="122">
        <f>X260*Y260*AA260</f>
        <v>1155000</v>
      </c>
      <c r="AC260" s="212"/>
      <c r="AD260" s="212"/>
    </row>
    <row r="261" spans="1:31" s="123" customFormat="1" ht="24" customHeight="1">
      <c r="A261" s="216"/>
      <c r="B261" s="217"/>
      <c r="C261" s="217"/>
      <c r="D261" s="217"/>
      <c r="E261" s="218"/>
      <c r="F261" s="218"/>
      <c r="G261" s="220"/>
      <c r="H261" s="220"/>
      <c r="I261" s="220"/>
      <c r="J261" s="220"/>
      <c r="K261" s="124"/>
      <c r="L261" s="214"/>
      <c r="M261" s="215"/>
      <c r="N261" s="215"/>
      <c r="O261" s="215"/>
      <c r="P261" s="215"/>
      <c r="Q261" s="215"/>
      <c r="R261" s="215"/>
      <c r="S261" s="215"/>
      <c r="T261" s="104" t="s">
        <v>402</v>
      </c>
      <c r="U261" s="112"/>
      <c r="V261" s="125"/>
      <c r="W261" s="125" t="str">
        <f>'[1]bang gia'!$C$46</f>
        <v>đồng/cây</v>
      </c>
      <c r="X261" s="120">
        <v>2</v>
      </c>
      <c r="Y261" s="120">
        <v>3850000</v>
      </c>
      <c r="Z261" s="124"/>
      <c r="AA261" s="128">
        <v>0</v>
      </c>
      <c r="AB261" s="122">
        <f>X261*Y261*AA261</f>
        <v>0</v>
      </c>
      <c r="AC261" s="212"/>
      <c r="AD261" s="212"/>
    </row>
    <row r="262" spans="1:31" s="123" customFormat="1" ht="39.75" customHeight="1">
      <c r="A262" s="216"/>
      <c r="B262" s="217"/>
      <c r="C262" s="217"/>
      <c r="D262" s="217"/>
      <c r="E262" s="218"/>
      <c r="F262" s="218"/>
      <c r="G262" s="220"/>
      <c r="H262" s="220"/>
      <c r="I262" s="220"/>
      <c r="J262" s="220"/>
      <c r="K262" s="124"/>
      <c r="L262" s="214"/>
      <c r="M262" s="215"/>
      <c r="N262" s="215"/>
      <c r="O262" s="215"/>
      <c r="P262" s="215"/>
      <c r="Q262" s="215"/>
      <c r="R262" s="215"/>
      <c r="S262" s="215"/>
      <c r="T262" s="94" t="s">
        <v>622</v>
      </c>
      <c r="U262" s="129">
        <v>20</v>
      </c>
      <c r="V262" s="127">
        <f>(G255-X255)/20*0.3</f>
        <v>3.375</v>
      </c>
      <c r="W262" s="125" t="str">
        <f>'[1]bang gia'!$C$46</f>
        <v>đồng/cây</v>
      </c>
      <c r="X262" s="122">
        <v>4</v>
      </c>
      <c r="Y262" s="98"/>
      <c r="Z262" s="124"/>
      <c r="AA262" s="121"/>
      <c r="AB262" s="122"/>
      <c r="AC262" s="212"/>
      <c r="AD262" s="212"/>
    </row>
    <row r="263" spans="1:31" s="123" customFormat="1" ht="25.5" customHeight="1">
      <c r="A263" s="216"/>
      <c r="B263" s="217"/>
      <c r="C263" s="217"/>
      <c r="D263" s="217"/>
      <c r="E263" s="218"/>
      <c r="F263" s="218"/>
      <c r="G263" s="220"/>
      <c r="H263" s="220"/>
      <c r="I263" s="220"/>
      <c r="J263" s="220"/>
      <c r="K263" s="124"/>
      <c r="L263" s="214"/>
      <c r="M263" s="215"/>
      <c r="N263" s="215"/>
      <c r="O263" s="215"/>
      <c r="P263" s="215"/>
      <c r="Q263" s="215"/>
      <c r="R263" s="215"/>
      <c r="S263" s="215"/>
      <c r="T263" s="104" t="s">
        <v>399</v>
      </c>
      <c r="U263" s="129"/>
      <c r="V263" s="125"/>
      <c r="W263" s="125" t="str">
        <f>'[1]bang gia'!$C$46</f>
        <v>đồng/cây</v>
      </c>
      <c r="X263" s="122">
        <v>3</v>
      </c>
      <c r="Y263" s="98">
        <v>2500000</v>
      </c>
      <c r="Z263" s="124"/>
      <c r="AA263" s="121">
        <v>0.3</v>
      </c>
      <c r="AB263" s="122">
        <f>X263*Y263*AA263</f>
        <v>2250000</v>
      </c>
      <c r="AC263" s="212"/>
      <c r="AD263" s="212"/>
    </row>
    <row r="264" spans="1:31" s="123" customFormat="1" ht="25.5" customHeight="1">
      <c r="A264" s="216"/>
      <c r="B264" s="217"/>
      <c r="C264" s="217"/>
      <c r="D264" s="217"/>
      <c r="E264" s="218"/>
      <c r="F264" s="218"/>
      <c r="G264" s="220"/>
      <c r="H264" s="220"/>
      <c r="I264" s="220"/>
      <c r="J264" s="220"/>
      <c r="K264" s="124"/>
      <c r="L264" s="214"/>
      <c r="M264" s="215"/>
      <c r="N264" s="215"/>
      <c r="O264" s="215"/>
      <c r="P264" s="215"/>
      <c r="Q264" s="215"/>
      <c r="R264" s="215"/>
      <c r="S264" s="215"/>
      <c r="T264" s="104" t="s">
        <v>417</v>
      </c>
      <c r="U264" s="129"/>
      <c r="V264" s="125"/>
      <c r="W264" s="125" t="str">
        <f>'[1]bang gia'!$C$46</f>
        <v>đồng/cây</v>
      </c>
      <c r="X264" s="122">
        <v>1</v>
      </c>
      <c r="Y264" s="98">
        <v>2500000</v>
      </c>
      <c r="Z264" s="124"/>
      <c r="AA264" s="128">
        <v>0</v>
      </c>
      <c r="AB264" s="122">
        <f>X264*Y264*AA264</f>
        <v>0</v>
      </c>
      <c r="AC264" s="212"/>
      <c r="AD264" s="212"/>
    </row>
    <row r="265" spans="1:31" s="123" customFormat="1" ht="24.75" customHeight="1">
      <c r="A265" s="216"/>
      <c r="B265" s="217"/>
      <c r="C265" s="217"/>
      <c r="D265" s="217"/>
      <c r="E265" s="218"/>
      <c r="F265" s="218"/>
      <c r="G265" s="220"/>
      <c r="H265" s="220"/>
      <c r="I265" s="220"/>
      <c r="J265" s="220"/>
      <c r="K265" s="124"/>
      <c r="L265" s="214"/>
      <c r="M265" s="215"/>
      <c r="N265" s="215"/>
      <c r="O265" s="215"/>
      <c r="P265" s="215"/>
      <c r="Q265" s="215"/>
      <c r="R265" s="215"/>
      <c r="S265" s="215"/>
      <c r="T265" s="126" t="s">
        <v>636</v>
      </c>
      <c r="U265" s="129"/>
      <c r="V265" s="125"/>
      <c r="W265" s="125" t="s">
        <v>7</v>
      </c>
      <c r="X265" s="122"/>
      <c r="Y265" s="98"/>
      <c r="Z265" s="124"/>
      <c r="AA265" s="128">
        <v>0</v>
      </c>
      <c r="AB265" s="122">
        <f>X265*Y265*AA265</f>
        <v>0</v>
      </c>
      <c r="AC265" s="212"/>
      <c r="AD265" s="212"/>
    </row>
    <row r="266" spans="1:31" s="123" customFormat="1" ht="37.5" customHeight="1">
      <c r="A266" s="216">
        <v>22</v>
      </c>
      <c r="B266" s="221" t="s">
        <v>637</v>
      </c>
      <c r="C266" s="217">
        <v>64</v>
      </c>
      <c r="D266" s="217">
        <v>340</v>
      </c>
      <c r="E266" s="218">
        <v>768.8</v>
      </c>
      <c r="F266" s="218" t="s">
        <v>393</v>
      </c>
      <c r="G266" s="220">
        <v>720</v>
      </c>
      <c r="H266" s="220">
        <f>E266-G266</f>
        <v>48.799999999999955</v>
      </c>
      <c r="I266" s="220">
        <v>720</v>
      </c>
      <c r="J266" s="220">
        <v>720</v>
      </c>
      <c r="K266" s="124"/>
      <c r="L266" s="214">
        <f>I266/J266*100</f>
        <v>100</v>
      </c>
      <c r="M266" s="215">
        <f>IF(L266&lt;10,2,IF(L266&lt;20,3,IF(L266&lt;30,5,IF(L266&gt;=70,12,IF(L266&gt;=30,6)))))</f>
        <v>12</v>
      </c>
      <c r="N266" s="215">
        <v>7</v>
      </c>
      <c r="O266" s="215">
        <f>$O$6</f>
        <v>80000</v>
      </c>
      <c r="P266" s="215">
        <f>I266*O266</f>
        <v>57600000</v>
      </c>
      <c r="Q266" s="215">
        <f>$Q$6*I266</f>
        <v>172800000</v>
      </c>
      <c r="R266" s="215">
        <f>M266*N266*$R$6</f>
        <v>42840000</v>
      </c>
      <c r="S266" s="215">
        <f>R266+Q266+P266</f>
        <v>273240000</v>
      </c>
      <c r="T266" s="117" t="s">
        <v>491</v>
      </c>
      <c r="U266" s="112"/>
      <c r="V266" s="125"/>
      <c r="W266" s="118" t="s">
        <v>0</v>
      </c>
      <c r="X266" s="119">
        <v>650</v>
      </c>
      <c r="Y266" s="120">
        <v>97000</v>
      </c>
      <c r="Z266" s="124"/>
      <c r="AA266" s="121">
        <v>1</v>
      </c>
      <c r="AB266" s="122">
        <f>X266*Y266*AA266</f>
        <v>63050000</v>
      </c>
      <c r="AC266" s="212">
        <f>SUM(AB266:AB272)</f>
        <v>77050000</v>
      </c>
      <c r="AD266" s="212">
        <f>AC266+S266</f>
        <v>350290000</v>
      </c>
      <c r="AE266" s="123" t="s">
        <v>590</v>
      </c>
    </row>
    <row r="267" spans="1:31" s="123" customFormat="1" ht="37.5" customHeight="1">
      <c r="A267" s="216"/>
      <c r="B267" s="221"/>
      <c r="C267" s="217"/>
      <c r="D267" s="217"/>
      <c r="E267" s="218"/>
      <c r="F267" s="218"/>
      <c r="G267" s="220"/>
      <c r="H267" s="220"/>
      <c r="I267" s="220"/>
      <c r="J267" s="220"/>
      <c r="K267" s="124"/>
      <c r="L267" s="214"/>
      <c r="M267" s="215"/>
      <c r="N267" s="215"/>
      <c r="O267" s="215"/>
      <c r="P267" s="215"/>
      <c r="Q267" s="215"/>
      <c r="R267" s="215"/>
      <c r="S267" s="215"/>
      <c r="T267" s="126" t="s">
        <v>493</v>
      </c>
      <c r="U267" s="112">
        <v>25</v>
      </c>
      <c r="V267" s="127">
        <f>(G266-X266)/25</f>
        <v>2.8</v>
      </c>
      <c r="W267" s="125" t="str">
        <f>'[1]bang gia'!$C$46</f>
        <v>đồng/cây</v>
      </c>
      <c r="X267" s="120">
        <v>2</v>
      </c>
      <c r="Y267" s="120"/>
      <c r="Z267" s="124"/>
      <c r="AA267" s="121"/>
      <c r="AB267" s="122"/>
      <c r="AC267" s="212"/>
      <c r="AD267" s="212"/>
    </row>
    <row r="268" spans="1:31" s="123" customFormat="1" ht="20.25" customHeight="1">
      <c r="A268" s="216"/>
      <c r="B268" s="221"/>
      <c r="C268" s="217"/>
      <c r="D268" s="217"/>
      <c r="E268" s="218"/>
      <c r="F268" s="218"/>
      <c r="G268" s="220"/>
      <c r="H268" s="220"/>
      <c r="I268" s="220"/>
      <c r="J268" s="220"/>
      <c r="K268" s="124"/>
      <c r="L268" s="214"/>
      <c r="M268" s="215"/>
      <c r="N268" s="215"/>
      <c r="O268" s="215"/>
      <c r="P268" s="215"/>
      <c r="Q268" s="215"/>
      <c r="R268" s="215"/>
      <c r="S268" s="215"/>
      <c r="T268" s="104" t="s">
        <v>399</v>
      </c>
      <c r="U268" s="112"/>
      <c r="V268" s="125"/>
      <c r="W268" s="125" t="str">
        <f>'[1]bang gia'!$C$46</f>
        <v>đồng/cây</v>
      </c>
      <c r="X268" s="120">
        <v>2</v>
      </c>
      <c r="Y268" s="120">
        <v>4500000</v>
      </c>
      <c r="Z268" s="124"/>
      <c r="AA268" s="121">
        <v>1</v>
      </c>
      <c r="AB268" s="122">
        <f>X268*Y268*AA268</f>
        <v>9000000</v>
      </c>
      <c r="AC268" s="212"/>
      <c r="AD268" s="212"/>
    </row>
    <row r="269" spans="1:31" s="123" customFormat="1" ht="39" customHeight="1">
      <c r="A269" s="216"/>
      <c r="B269" s="221"/>
      <c r="C269" s="217"/>
      <c r="D269" s="217"/>
      <c r="E269" s="218"/>
      <c r="F269" s="218"/>
      <c r="G269" s="220"/>
      <c r="H269" s="220"/>
      <c r="I269" s="220"/>
      <c r="J269" s="220"/>
      <c r="K269" s="124"/>
      <c r="L269" s="214"/>
      <c r="M269" s="215"/>
      <c r="N269" s="215"/>
      <c r="O269" s="215"/>
      <c r="P269" s="215"/>
      <c r="Q269" s="215"/>
      <c r="R269" s="215"/>
      <c r="S269" s="215"/>
      <c r="T269" s="94" t="s">
        <v>517</v>
      </c>
      <c r="U269" s="129">
        <v>20</v>
      </c>
      <c r="V269" s="127">
        <f>(G266-X266)/20</f>
        <v>3.5</v>
      </c>
      <c r="W269" s="125" t="str">
        <f>'[1]bang gia'!$C$46</f>
        <v>đồng/cây</v>
      </c>
      <c r="X269" s="122">
        <v>5</v>
      </c>
      <c r="Y269" s="120"/>
      <c r="Z269" s="124"/>
      <c r="AA269" s="121"/>
      <c r="AB269" s="122"/>
      <c r="AC269" s="212"/>
      <c r="AD269" s="212"/>
    </row>
    <row r="270" spans="1:31" s="123" customFormat="1" ht="20.25" customHeight="1">
      <c r="A270" s="216"/>
      <c r="B270" s="221"/>
      <c r="C270" s="217"/>
      <c r="D270" s="217"/>
      <c r="E270" s="218"/>
      <c r="F270" s="218"/>
      <c r="G270" s="220"/>
      <c r="H270" s="220"/>
      <c r="I270" s="220"/>
      <c r="J270" s="220"/>
      <c r="K270" s="124"/>
      <c r="L270" s="214"/>
      <c r="M270" s="215"/>
      <c r="N270" s="215"/>
      <c r="O270" s="215"/>
      <c r="P270" s="215"/>
      <c r="Q270" s="215"/>
      <c r="R270" s="215"/>
      <c r="S270" s="215"/>
      <c r="T270" s="104" t="s">
        <v>399</v>
      </c>
      <c r="U270" s="112"/>
      <c r="V270" s="125"/>
      <c r="W270" s="125" t="str">
        <f>'[1]bang gia'!$C$46</f>
        <v>đồng/cây</v>
      </c>
      <c r="X270" s="122">
        <v>4</v>
      </c>
      <c r="Y270" s="120">
        <v>2500000</v>
      </c>
      <c r="Z270" s="124"/>
      <c r="AA270" s="121">
        <v>0.5</v>
      </c>
      <c r="AB270" s="122">
        <f>X270*Y270*AA270</f>
        <v>5000000</v>
      </c>
      <c r="AC270" s="212"/>
      <c r="AD270" s="212"/>
    </row>
    <row r="271" spans="1:31" s="123" customFormat="1" ht="20.25" customHeight="1">
      <c r="A271" s="216"/>
      <c r="B271" s="221"/>
      <c r="C271" s="217"/>
      <c r="D271" s="217"/>
      <c r="E271" s="218"/>
      <c r="F271" s="218"/>
      <c r="G271" s="220"/>
      <c r="H271" s="220"/>
      <c r="I271" s="220"/>
      <c r="J271" s="220"/>
      <c r="K271" s="124"/>
      <c r="L271" s="214"/>
      <c r="M271" s="215"/>
      <c r="N271" s="215"/>
      <c r="O271" s="215"/>
      <c r="P271" s="215"/>
      <c r="Q271" s="215"/>
      <c r="R271" s="215"/>
      <c r="S271" s="215"/>
      <c r="T271" s="104" t="s">
        <v>417</v>
      </c>
      <c r="U271" s="112"/>
      <c r="V271" s="125"/>
      <c r="W271" s="125" t="str">
        <f>'[1]bang gia'!$C$46</f>
        <v>đồng/cây</v>
      </c>
      <c r="X271" s="122">
        <v>1</v>
      </c>
      <c r="Y271" s="120">
        <v>2500000</v>
      </c>
      <c r="Z271" s="124"/>
      <c r="AA271" s="128">
        <v>0</v>
      </c>
      <c r="AB271" s="122">
        <f>X271*Y271*AA271</f>
        <v>0</v>
      </c>
      <c r="AC271" s="212"/>
      <c r="AD271" s="212"/>
    </row>
    <row r="272" spans="1:31" s="123" customFormat="1" ht="20.25" customHeight="1">
      <c r="A272" s="216"/>
      <c r="B272" s="221"/>
      <c r="C272" s="217"/>
      <c r="D272" s="217"/>
      <c r="E272" s="218"/>
      <c r="F272" s="218"/>
      <c r="G272" s="220"/>
      <c r="H272" s="220"/>
      <c r="I272" s="220"/>
      <c r="J272" s="220"/>
      <c r="K272" s="124"/>
      <c r="L272" s="214"/>
      <c r="M272" s="215"/>
      <c r="N272" s="215"/>
      <c r="O272" s="215"/>
      <c r="P272" s="215"/>
      <c r="Q272" s="215"/>
      <c r="R272" s="215"/>
      <c r="S272" s="215"/>
      <c r="T272" s="126" t="s">
        <v>638</v>
      </c>
      <c r="U272" s="112"/>
      <c r="V272" s="125"/>
      <c r="W272" s="125"/>
      <c r="X272" s="120"/>
      <c r="Y272" s="120"/>
      <c r="Z272" s="124"/>
      <c r="AA272" s="121">
        <v>0</v>
      </c>
      <c r="AB272" s="120">
        <v>0</v>
      </c>
      <c r="AC272" s="212"/>
      <c r="AD272" s="212"/>
    </row>
    <row r="273" spans="1:255" s="123" customFormat="1" ht="35.25" customHeight="1">
      <c r="A273" s="216">
        <v>23</v>
      </c>
      <c r="B273" s="221" t="s">
        <v>639</v>
      </c>
      <c r="C273" s="217">
        <v>64</v>
      </c>
      <c r="D273" s="217">
        <v>339</v>
      </c>
      <c r="E273" s="218">
        <v>614.79999999999995</v>
      </c>
      <c r="F273" s="218" t="s">
        <v>393</v>
      </c>
      <c r="G273" s="220">
        <v>568.79999999999995</v>
      </c>
      <c r="H273" s="220">
        <v>38.799999999999997</v>
      </c>
      <c r="I273" s="220">
        <v>568.70000000000005</v>
      </c>
      <c r="J273" s="220">
        <v>720</v>
      </c>
      <c r="K273" s="124"/>
      <c r="L273" s="214">
        <f>I273/J273*100</f>
        <v>78.986111111111114</v>
      </c>
      <c r="M273" s="215">
        <f>IF(L273&lt;10,2,IF(L273&lt;20,3,IF(L273&lt;30,5,IF(L273&gt;=70,12,IF(L273&gt;=30,6)))))</f>
        <v>12</v>
      </c>
      <c r="N273" s="215">
        <v>1</v>
      </c>
      <c r="O273" s="215">
        <f>$O$6</f>
        <v>80000</v>
      </c>
      <c r="P273" s="215">
        <f>I273*O273</f>
        <v>45496000</v>
      </c>
      <c r="Q273" s="215">
        <f>$Q$6*I273</f>
        <v>136488000</v>
      </c>
      <c r="R273" s="215">
        <f>M273*N273*$R$6</f>
        <v>6120000</v>
      </c>
      <c r="S273" s="215">
        <f>R273+Q273+P273</f>
        <v>188104000</v>
      </c>
      <c r="T273" s="117" t="s">
        <v>491</v>
      </c>
      <c r="U273" s="112"/>
      <c r="V273" s="125"/>
      <c r="W273" s="118" t="s">
        <v>0</v>
      </c>
      <c r="X273" s="119">
        <v>510</v>
      </c>
      <c r="Y273" s="120">
        <v>97000</v>
      </c>
      <c r="Z273" s="124"/>
      <c r="AA273" s="121">
        <v>1</v>
      </c>
      <c r="AB273" s="122">
        <f t="shared" ref="AB273:AB280" si="12">X273*Y273*AA273</f>
        <v>49470000</v>
      </c>
      <c r="AC273" s="212">
        <f>SUM(AB273:AB279)</f>
        <v>60720000</v>
      </c>
      <c r="AD273" s="212">
        <f>AC273+S273</f>
        <v>248824000</v>
      </c>
      <c r="AE273" s="130" t="s">
        <v>640</v>
      </c>
      <c r="AF273" s="130"/>
      <c r="AG273" s="130"/>
      <c r="AH273" s="130"/>
      <c r="AI273" s="130"/>
      <c r="AJ273" s="130"/>
      <c r="AK273" s="130"/>
      <c r="AL273" s="130"/>
      <c r="AM273" s="130"/>
      <c r="AN273" s="130"/>
      <c r="AO273" s="130"/>
      <c r="AP273" s="130"/>
      <c r="AQ273" s="130"/>
      <c r="AR273" s="130"/>
      <c r="AS273" s="130"/>
      <c r="AT273" s="130"/>
      <c r="AU273" s="130"/>
      <c r="AV273" s="130"/>
      <c r="AW273" s="130"/>
      <c r="AX273" s="130"/>
      <c r="AY273" s="130"/>
      <c r="AZ273" s="130"/>
      <c r="BA273" s="130"/>
      <c r="BB273" s="130"/>
      <c r="BC273" s="130"/>
      <c r="BD273" s="130"/>
      <c r="BE273" s="130"/>
      <c r="BF273" s="130"/>
      <c r="BG273" s="130"/>
      <c r="BH273" s="130"/>
      <c r="BI273" s="130"/>
      <c r="BJ273" s="130"/>
      <c r="BK273" s="130"/>
      <c r="BL273" s="130"/>
      <c r="BM273" s="130"/>
      <c r="BN273" s="130"/>
      <c r="BO273" s="130"/>
      <c r="BP273" s="130"/>
      <c r="BQ273" s="130"/>
      <c r="BR273" s="130"/>
      <c r="BS273" s="130"/>
      <c r="BT273" s="130"/>
      <c r="BU273" s="130"/>
      <c r="BV273" s="130"/>
      <c r="BW273" s="130"/>
      <c r="BX273" s="130"/>
      <c r="BY273" s="130"/>
      <c r="BZ273" s="130"/>
      <c r="CA273" s="130"/>
      <c r="CB273" s="130"/>
      <c r="CC273" s="130"/>
      <c r="CD273" s="130"/>
      <c r="CE273" s="130"/>
      <c r="CF273" s="130"/>
      <c r="CG273" s="130"/>
      <c r="CH273" s="130"/>
      <c r="CI273" s="130"/>
      <c r="CJ273" s="130"/>
      <c r="CK273" s="130"/>
      <c r="CL273" s="130"/>
      <c r="CM273" s="130"/>
      <c r="CN273" s="130"/>
      <c r="CO273" s="130"/>
      <c r="CP273" s="130"/>
      <c r="CQ273" s="130"/>
      <c r="CR273" s="130"/>
      <c r="CS273" s="130"/>
      <c r="CT273" s="130"/>
      <c r="CU273" s="130"/>
      <c r="CV273" s="130"/>
      <c r="CW273" s="130"/>
      <c r="CX273" s="130"/>
      <c r="CY273" s="130"/>
      <c r="CZ273" s="130"/>
      <c r="DA273" s="130"/>
      <c r="DB273" s="130"/>
      <c r="DC273" s="130"/>
      <c r="DD273" s="130"/>
      <c r="DE273" s="130"/>
      <c r="DF273" s="130"/>
      <c r="DG273" s="130"/>
      <c r="DH273" s="130"/>
      <c r="DI273" s="130"/>
      <c r="DJ273" s="130"/>
      <c r="DK273" s="130"/>
      <c r="DL273" s="130"/>
      <c r="DM273" s="130"/>
      <c r="DN273" s="130"/>
      <c r="DO273" s="130"/>
      <c r="DP273" s="130"/>
      <c r="DQ273" s="130"/>
      <c r="DR273" s="130"/>
      <c r="DS273" s="130"/>
      <c r="DT273" s="130"/>
      <c r="DU273" s="130"/>
      <c r="DV273" s="130"/>
      <c r="DW273" s="130"/>
      <c r="DX273" s="130"/>
      <c r="DY273" s="130"/>
      <c r="DZ273" s="130"/>
      <c r="EA273" s="130"/>
      <c r="EB273" s="130"/>
      <c r="EC273" s="130"/>
      <c r="ED273" s="130"/>
      <c r="EE273" s="130"/>
      <c r="EF273" s="130"/>
      <c r="EG273" s="130"/>
      <c r="EH273" s="130"/>
      <c r="EI273" s="130"/>
      <c r="EJ273" s="130"/>
      <c r="EK273" s="130"/>
      <c r="EL273" s="130"/>
      <c r="EM273" s="130"/>
      <c r="EN273" s="130"/>
      <c r="EO273" s="130"/>
      <c r="EP273" s="130"/>
      <c r="EQ273" s="130"/>
      <c r="ER273" s="130"/>
      <c r="ES273" s="130"/>
      <c r="ET273" s="130"/>
      <c r="EU273" s="130"/>
      <c r="EV273" s="130"/>
      <c r="EW273" s="130"/>
      <c r="EX273" s="130"/>
      <c r="EY273" s="130"/>
      <c r="EZ273" s="130"/>
      <c r="FA273" s="130"/>
      <c r="FB273" s="130"/>
      <c r="FC273" s="130"/>
      <c r="FD273" s="130"/>
      <c r="FE273" s="130"/>
      <c r="FF273" s="130"/>
      <c r="FG273" s="130"/>
      <c r="FH273" s="130"/>
      <c r="FI273" s="130"/>
      <c r="FJ273" s="130"/>
      <c r="FK273" s="130"/>
      <c r="FL273" s="130"/>
      <c r="FM273" s="130"/>
      <c r="FN273" s="130"/>
      <c r="FO273" s="130"/>
      <c r="FP273" s="130"/>
      <c r="FQ273" s="130"/>
      <c r="FR273" s="130"/>
      <c r="FS273" s="130"/>
      <c r="FT273" s="130"/>
      <c r="FU273" s="130"/>
      <c r="FV273" s="130"/>
      <c r="FW273" s="130"/>
      <c r="FX273" s="130"/>
      <c r="FY273" s="130"/>
      <c r="FZ273" s="130"/>
      <c r="GA273" s="130"/>
      <c r="GB273" s="130"/>
      <c r="GC273" s="130"/>
      <c r="GD273" s="130"/>
      <c r="GE273" s="130"/>
      <c r="GF273" s="130"/>
      <c r="GG273" s="130"/>
      <c r="GH273" s="130"/>
      <c r="GI273" s="130"/>
      <c r="GJ273" s="130"/>
      <c r="GK273" s="130"/>
      <c r="GL273" s="130"/>
      <c r="GM273" s="130"/>
      <c r="GN273" s="130"/>
      <c r="GO273" s="130"/>
      <c r="GP273" s="130"/>
      <c r="GQ273" s="130"/>
      <c r="GR273" s="130"/>
      <c r="GS273" s="130"/>
      <c r="GT273" s="130"/>
      <c r="GU273" s="130"/>
      <c r="GV273" s="130"/>
      <c r="GW273" s="130"/>
      <c r="GX273" s="130"/>
      <c r="GY273" s="130"/>
      <c r="GZ273" s="130"/>
      <c r="HA273" s="130"/>
      <c r="HB273" s="130"/>
      <c r="HC273" s="130"/>
      <c r="HD273" s="130"/>
      <c r="HE273" s="130"/>
      <c r="HF273" s="130"/>
      <c r="HG273" s="130"/>
      <c r="HH273" s="130"/>
      <c r="HI273" s="130"/>
      <c r="HJ273" s="130"/>
      <c r="HK273" s="130"/>
      <c r="HL273" s="130"/>
      <c r="HM273" s="130"/>
      <c r="HN273" s="130"/>
      <c r="HO273" s="130"/>
      <c r="HP273" s="130"/>
      <c r="HQ273" s="130"/>
      <c r="HR273" s="130"/>
      <c r="HS273" s="130"/>
      <c r="HT273" s="130"/>
      <c r="HU273" s="130"/>
      <c r="HV273" s="130"/>
      <c r="HW273" s="130"/>
      <c r="HX273" s="130"/>
      <c r="HY273" s="130"/>
      <c r="HZ273" s="130"/>
      <c r="IA273" s="130"/>
      <c r="IB273" s="130"/>
      <c r="IC273" s="130"/>
      <c r="ID273" s="130"/>
      <c r="IE273" s="130"/>
      <c r="IF273" s="130"/>
      <c r="IG273" s="130"/>
      <c r="IH273" s="130"/>
      <c r="II273" s="130"/>
      <c r="IJ273" s="130"/>
      <c r="IK273" s="130"/>
      <c r="IL273" s="130"/>
      <c r="IM273" s="130"/>
      <c r="IN273" s="130"/>
      <c r="IO273" s="130"/>
      <c r="IP273" s="130"/>
      <c r="IQ273" s="130"/>
      <c r="IR273" s="130"/>
      <c r="IS273" s="130"/>
      <c r="IT273" s="130"/>
      <c r="IU273" s="130"/>
    </row>
    <row r="274" spans="1:255" s="123" customFormat="1" ht="36.75" customHeight="1">
      <c r="A274" s="216"/>
      <c r="B274" s="221"/>
      <c r="C274" s="217"/>
      <c r="D274" s="217"/>
      <c r="E274" s="218"/>
      <c r="F274" s="218"/>
      <c r="G274" s="220"/>
      <c r="H274" s="220"/>
      <c r="I274" s="220"/>
      <c r="J274" s="220"/>
      <c r="K274" s="124"/>
      <c r="L274" s="214"/>
      <c r="M274" s="215"/>
      <c r="N274" s="215"/>
      <c r="O274" s="215"/>
      <c r="P274" s="215"/>
      <c r="Q274" s="215"/>
      <c r="R274" s="215"/>
      <c r="S274" s="215"/>
      <c r="T274" s="126" t="s">
        <v>493</v>
      </c>
      <c r="U274" s="112"/>
      <c r="V274" s="125"/>
      <c r="W274" s="125" t="str">
        <f>'[1]bang gia'!$C$46</f>
        <v>đồng/cây</v>
      </c>
      <c r="X274" s="120">
        <v>2</v>
      </c>
      <c r="Y274" s="120"/>
      <c r="Z274" s="124"/>
      <c r="AA274" s="121"/>
      <c r="AB274" s="120"/>
      <c r="AC274" s="212"/>
      <c r="AD274" s="212"/>
    </row>
    <row r="275" spans="1:255" s="123" customFormat="1" ht="20.25" customHeight="1">
      <c r="A275" s="216"/>
      <c r="B275" s="221"/>
      <c r="C275" s="217"/>
      <c r="D275" s="217"/>
      <c r="E275" s="218"/>
      <c r="F275" s="218"/>
      <c r="G275" s="220"/>
      <c r="H275" s="220"/>
      <c r="I275" s="220"/>
      <c r="J275" s="220"/>
      <c r="K275" s="124"/>
      <c r="L275" s="214"/>
      <c r="M275" s="215"/>
      <c r="N275" s="215"/>
      <c r="O275" s="215"/>
      <c r="P275" s="215"/>
      <c r="Q275" s="215"/>
      <c r="R275" s="215"/>
      <c r="S275" s="215"/>
      <c r="T275" s="104" t="s">
        <v>399</v>
      </c>
      <c r="U275" s="112">
        <v>25</v>
      </c>
      <c r="V275" s="127">
        <f>(G273-X273)/25</f>
        <v>2.3519999999999981</v>
      </c>
      <c r="W275" s="125" t="str">
        <f>'[1]bang gia'!$C$46</f>
        <v>đồng/cây</v>
      </c>
      <c r="X275" s="120">
        <v>2</v>
      </c>
      <c r="Y275" s="120">
        <v>4500000</v>
      </c>
      <c r="Z275" s="124"/>
      <c r="AA275" s="121">
        <v>1</v>
      </c>
      <c r="AB275" s="122">
        <f t="shared" si="12"/>
        <v>9000000</v>
      </c>
      <c r="AC275" s="212"/>
      <c r="AD275" s="212"/>
    </row>
    <row r="276" spans="1:255" s="123" customFormat="1" ht="36.75" customHeight="1">
      <c r="A276" s="216"/>
      <c r="B276" s="221"/>
      <c r="C276" s="217"/>
      <c r="D276" s="217"/>
      <c r="E276" s="218"/>
      <c r="F276" s="218"/>
      <c r="G276" s="220"/>
      <c r="H276" s="220"/>
      <c r="I276" s="220"/>
      <c r="J276" s="220"/>
      <c r="K276" s="124"/>
      <c r="L276" s="214"/>
      <c r="M276" s="215"/>
      <c r="N276" s="215"/>
      <c r="O276" s="215"/>
      <c r="P276" s="215"/>
      <c r="Q276" s="215"/>
      <c r="R276" s="215"/>
      <c r="S276" s="215"/>
      <c r="T276" s="94" t="s">
        <v>517</v>
      </c>
      <c r="U276" s="112"/>
      <c r="V276" s="125"/>
      <c r="W276" s="125" t="str">
        <f>'[1]bang gia'!$C$46</f>
        <v>đồng/cây</v>
      </c>
      <c r="X276" s="122">
        <v>4</v>
      </c>
      <c r="Y276" s="98"/>
      <c r="Z276" s="124"/>
      <c r="AA276" s="121"/>
      <c r="AB276" s="122"/>
      <c r="AC276" s="212"/>
      <c r="AD276" s="212"/>
    </row>
    <row r="277" spans="1:255" s="123" customFormat="1" ht="20.25" customHeight="1">
      <c r="A277" s="216"/>
      <c r="B277" s="221"/>
      <c r="C277" s="217"/>
      <c r="D277" s="217"/>
      <c r="E277" s="218"/>
      <c r="F277" s="218"/>
      <c r="G277" s="220"/>
      <c r="H277" s="220"/>
      <c r="I277" s="220"/>
      <c r="J277" s="220"/>
      <c r="K277" s="124"/>
      <c r="L277" s="214"/>
      <c r="M277" s="215"/>
      <c r="N277" s="215"/>
      <c r="O277" s="215"/>
      <c r="P277" s="215"/>
      <c r="Q277" s="215"/>
      <c r="R277" s="215"/>
      <c r="S277" s="215"/>
      <c r="T277" s="104" t="s">
        <v>399</v>
      </c>
      <c r="U277" s="112">
        <v>20</v>
      </c>
      <c r="V277" s="127">
        <f>(G273-X273)/20</f>
        <v>2.9399999999999977</v>
      </c>
      <c r="W277" s="125" t="str">
        <f>'[1]bang gia'!$C$46</f>
        <v>đồng/cây</v>
      </c>
      <c r="X277" s="122">
        <v>3</v>
      </c>
      <c r="Y277" s="98">
        <v>2500000</v>
      </c>
      <c r="Z277" s="124"/>
      <c r="AA277" s="128">
        <v>0.3</v>
      </c>
      <c r="AB277" s="122">
        <f t="shared" si="12"/>
        <v>2250000</v>
      </c>
      <c r="AC277" s="212"/>
      <c r="AD277" s="212"/>
    </row>
    <row r="278" spans="1:255" s="123" customFormat="1" ht="20.25" customHeight="1">
      <c r="A278" s="216"/>
      <c r="B278" s="221"/>
      <c r="C278" s="217"/>
      <c r="D278" s="217"/>
      <c r="E278" s="218"/>
      <c r="F278" s="218"/>
      <c r="G278" s="220"/>
      <c r="H278" s="220"/>
      <c r="I278" s="220"/>
      <c r="J278" s="220"/>
      <c r="K278" s="124"/>
      <c r="L278" s="214"/>
      <c r="M278" s="215"/>
      <c r="N278" s="215"/>
      <c r="O278" s="215"/>
      <c r="P278" s="215"/>
      <c r="Q278" s="215"/>
      <c r="R278" s="215"/>
      <c r="S278" s="215"/>
      <c r="T278" s="104" t="s">
        <v>417</v>
      </c>
      <c r="U278" s="129"/>
      <c r="V278" s="125"/>
      <c r="W278" s="125" t="str">
        <f>'[1]bang gia'!$C$46</f>
        <v>đồng/cây</v>
      </c>
      <c r="X278" s="122">
        <v>1</v>
      </c>
      <c r="Y278" s="98">
        <v>2500000</v>
      </c>
      <c r="Z278" s="124"/>
      <c r="AA278" s="128">
        <v>0</v>
      </c>
      <c r="AB278" s="122">
        <f t="shared" si="12"/>
        <v>0</v>
      </c>
      <c r="AC278" s="212"/>
      <c r="AD278" s="212"/>
    </row>
    <row r="279" spans="1:255" s="123" customFormat="1" ht="20.25" customHeight="1">
      <c r="A279" s="216"/>
      <c r="B279" s="221"/>
      <c r="C279" s="217"/>
      <c r="D279" s="217"/>
      <c r="E279" s="218"/>
      <c r="F279" s="218"/>
      <c r="G279" s="220"/>
      <c r="H279" s="220"/>
      <c r="I279" s="220"/>
      <c r="J279" s="220"/>
      <c r="K279" s="124"/>
      <c r="L279" s="214"/>
      <c r="M279" s="215"/>
      <c r="N279" s="215"/>
      <c r="O279" s="215"/>
      <c r="P279" s="215"/>
      <c r="Q279" s="215"/>
      <c r="R279" s="215"/>
      <c r="S279" s="215"/>
      <c r="T279" s="126" t="s">
        <v>641</v>
      </c>
      <c r="U279" s="129"/>
      <c r="V279" s="125"/>
      <c r="W279" s="125" t="s">
        <v>7</v>
      </c>
      <c r="X279" s="122"/>
      <c r="Y279" s="98"/>
      <c r="Z279" s="124"/>
      <c r="AA279" s="121">
        <v>0</v>
      </c>
      <c r="AB279" s="122">
        <f t="shared" si="12"/>
        <v>0</v>
      </c>
      <c r="AC279" s="212"/>
      <c r="AD279" s="212"/>
    </row>
    <row r="280" spans="1:255" s="123" customFormat="1" ht="33" customHeight="1">
      <c r="A280" s="216">
        <v>24</v>
      </c>
      <c r="B280" s="217" t="s">
        <v>642</v>
      </c>
      <c r="C280" s="217">
        <v>64</v>
      </c>
      <c r="D280" s="217">
        <v>336</v>
      </c>
      <c r="E280" s="218">
        <v>230.6</v>
      </c>
      <c r="F280" s="218" t="s">
        <v>393</v>
      </c>
      <c r="G280" s="220">
        <v>216</v>
      </c>
      <c r="H280" s="220">
        <f>E280-G280</f>
        <v>14.599999999999994</v>
      </c>
      <c r="I280" s="220">
        <v>216</v>
      </c>
      <c r="J280" s="220">
        <v>1076.4000000000001</v>
      </c>
      <c r="K280" s="124"/>
      <c r="L280" s="214">
        <f>I280/J280*100</f>
        <v>20.066889632107021</v>
      </c>
      <c r="M280" s="215">
        <f>IF(L280&lt;10,2,IF(L280&lt;20,3,IF(L280&lt;30,5,IF(L280&gt;=70,12,IF(L280&gt;=30,6)))))</f>
        <v>5</v>
      </c>
      <c r="N280" s="215">
        <v>6</v>
      </c>
      <c r="O280" s="215">
        <f>$O$6</f>
        <v>80000</v>
      </c>
      <c r="P280" s="215">
        <f>I280*O280</f>
        <v>17280000</v>
      </c>
      <c r="Q280" s="215">
        <f>$Q$6*I280</f>
        <v>51840000</v>
      </c>
      <c r="R280" s="215">
        <f>M280*N280*$R$6</f>
        <v>15300000</v>
      </c>
      <c r="S280" s="215">
        <f>R280+Q280+P280</f>
        <v>84420000</v>
      </c>
      <c r="T280" s="117" t="s">
        <v>491</v>
      </c>
      <c r="U280" s="112"/>
      <c r="V280" s="125"/>
      <c r="W280" s="118" t="s">
        <v>0</v>
      </c>
      <c r="X280" s="119">
        <v>180</v>
      </c>
      <c r="Y280" s="120">
        <v>97000</v>
      </c>
      <c r="Z280" s="124"/>
      <c r="AA280" s="121">
        <v>1</v>
      </c>
      <c r="AB280" s="122">
        <f t="shared" si="12"/>
        <v>17460000</v>
      </c>
      <c r="AC280" s="212">
        <f>SUM(AB280:AB285)</f>
        <v>22710000</v>
      </c>
      <c r="AD280" s="212">
        <f>AC280+S280</f>
        <v>107130000</v>
      </c>
      <c r="AE280" s="130" t="s">
        <v>640</v>
      </c>
      <c r="AF280" s="130"/>
      <c r="AG280" s="130"/>
      <c r="AH280" s="130"/>
      <c r="AI280" s="130"/>
      <c r="AJ280" s="130"/>
      <c r="AK280" s="130"/>
      <c r="AL280" s="130"/>
      <c r="AM280" s="130"/>
      <c r="AN280" s="130"/>
      <c r="AO280" s="130"/>
      <c r="AP280" s="130"/>
      <c r="AQ280" s="130"/>
      <c r="AR280" s="130"/>
      <c r="AS280" s="130"/>
      <c r="AT280" s="130"/>
      <c r="AU280" s="130"/>
      <c r="AV280" s="130"/>
      <c r="AW280" s="130"/>
      <c r="AX280" s="130"/>
      <c r="AY280" s="130"/>
      <c r="AZ280" s="130"/>
      <c r="BA280" s="130"/>
      <c r="BB280" s="130"/>
      <c r="BC280" s="130"/>
      <c r="BD280" s="130"/>
      <c r="BE280" s="130"/>
      <c r="BF280" s="130"/>
      <c r="BG280" s="130"/>
      <c r="BH280" s="130"/>
      <c r="BI280" s="130"/>
      <c r="BJ280" s="130"/>
      <c r="BK280" s="130"/>
      <c r="BL280" s="130"/>
      <c r="BM280" s="130"/>
      <c r="BN280" s="130"/>
      <c r="BO280" s="130"/>
      <c r="BP280" s="130"/>
      <c r="BQ280" s="130"/>
      <c r="BR280" s="130"/>
      <c r="BS280" s="130"/>
      <c r="BT280" s="130"/>
      <c r="BU280" s="130"/>
      <c r="BV280" s="130"/>
      <c r="BW280" s="130"/>
      <c r="BX280" s="130"/>
      <c r="BY280" s="130"/>
      <c r="BZ280" s="130"/>
      <c r="CA280" s="130"/>
      <c r="CB280" s="130"/>
      <c r="CC280" s="130"/>
      <c r="CD280" s="130"/>
      <c r="CE280" s="130"/>
      <c r="CF280" s="130"/>
      <c r="CG280" s="130"/>
      <c r="CH280" s="130"/>
      <c r="CI280" s="130"/>
      <c r="CJ280" s="130"/>
      <c r="CK280" s="130"/>
      <c r="CL280" s="130"/>
      <c r="CM280" s="130"/>
      <c r="CN280" s="130"/>
      <c r="CO280" s="130"/>
      <c r="CP280" s="130"/>
      <c r="CQ280" s="130"/>
      <c r="CR280" s="130"/>
      <c r="CS280" s="130"/>
      <c r="CT280" s="130"/>
      <c r="CU280" s="130"/>
      <c r="CV280" s="130"/>
      <c r="CW280" s="130"/>
      <c r="CX280" s="130"/>
      <c r="CY280" s="130"/>
      <c r="CZ280" s="130"/>
      <c r="DA280" s="130"/>
      <c r="DB280" s="130"/>
      <c r="DC280" s="130"/>
      <c r="DD280" s="130"/>
      <c r="DE280" s="130"/>
      <c r="DF280" s="130"/>
      <c r="DG280" s="130"/>
      <c r="DH280" s="130"/>
      <c r="DI280" s="130"/>
      <c r="DJ280" s="130"/>
      <c r="DK280" s="130"/>
      <c r="DL280" s="130"/>
      <c r="DM280" s="130"/>
      <c r="DN280" s="130"/>
      <c r="DO280" s="130"/>
      <c r="DP280" s="130"/>
      <c r="DQ280" s="130"/>
      <c r="DR280" s="130"/>
      <c r="DS280" s="130"/>
      <c r="DT280" s="130"/>
      <c r="DU280" s="130"/>
      <c r="DV280" s="130"/>
      <c r="DW280" s="130"/>
      <c r="DX280" s="130"/>
      <c r="DY280" s="130"/>
      <c r="DZ280" s="130"/>
      <c r="EA280" s="130"/>
      <c r="EB280" s="130"/>
      <c r="EC280" s="130"/>
      <c r="ED280" s="130"/>
      <c r="EE280" s="130"/>
      <c r="EF280" s="130"/>
      <c r="EG280" s="130"/>
      <c r="EH280" s="130"/>
      <c r="EI280" s="130"/>
      <c r="EJ280" s="130"/>
      <c r="EK280" s="130"/>
      <c r="EL280" s="130"/>
      <c r="EM280" s="130"/>
      <c r="EN280" s="130"/>
      <c r="EO280" s="130"/>
      <c r="EP280" s="130"/>
      <c r="EQ280" s="130"/>
      <c r="ER280" s="130"/>
      <c r="ES280" s="130"/>
      <c r="ET280" s="130"/>
      <c r="EU280" s="130"/>
      <c r="EV280" s="130"/>
      <c r="EW280" s="130"/>
      <c r="EX280" s="130"/>
      <c r="EY280" s="130"/>
      <c r="EZ280" s="130"/>
      <c r="FA280" s="130"/>
      <c r="FB280" s="130"/>
      <c r="FC280" s="130"/>
      <c r="FD280" s="130"/>
      <c r="FE280" s="130"/>
      <c r="FF280" s="130"/>
      <c r="FG280" s="130"/>
      <c r="FH280" s="130"/>
      <c r="FI280" s="130"/>
      <c r="FJ280" s="130"/>
      <c r="FK280" s="130"/>
      <c r="FL280" s="130"/>
      <c r="FM280" s="130"/>
      <c r="FN280" s="130"/>
      <c r="FO280" s="130"/>
      <c r="FP280" s="130"/>
      <c r="FQ280" s="130"/>
      <c r="FR280" s="130"/>
      <c r="FS280" s="130"/>
      <c r="FT280" s="130"/>
      <c r="FU280" s="130"/>
      <c r="FV280" s="130"/>
      <c r="FW280" s="130"/>
      <c r="FX280" s="130"/>
      <c r="FY280" s="130"/>
      <c r="FZ280" s="130"/>
      <c r="GA280" s="130"/>
      <c r="GB280" s="130"/>
      <c r="GC280" s="130"/>
      <c r="GD280" s="130"/>
      <c r="GE280" s="130"/>
      <c r="GF280" s="130"/>
      <c r="GG280" s="130"/>
      <c r="GH280" s="130"/>
      <c r="GI280" s="130"/>
      <c r="GJ280" s="130"/>
      <c r="GK280" s="130"/>
      <c r="GL280" s="130"/>
      <c r="GM280" s="130"/>
      <c r="GN280" s="130"/>
      <c r="GO280" s="130"/>
      <c r="GP280" s="130"/>
      <c r="GQ280" s="130"/>
      <c r="GR280" s="130"/>
      <c r="GS280" s="130"/>
      <c r="GT280" s="130"/>
      <c r="GU280" s="130"/>
      <c r="GV280" s="130"/>
      <c r="GW280" s="130"/>
      <c r="GX280" s="130"/>
      <c r="GY280" s="130"/>
      <c r="GZ280" s="130"/>
      <c r="HA280" s="130"/>
      <c r="HB280" s="130"/>
      <c r="HC280" s="130"/>
      <c r="HD280" s="130"/>
      <c r="HE280" s="130"/>
      <c r="HF280" s="130"/>
      <c r="HG280" s="130"/>
      <c r="HH280" s="130"/>
      <c r="HI280" s="130"/>
      <c r="HJ280" s="130"/>
      <c r="HK280" s="130"/>
      <c r="HL280" s="130"/>
      <c r="HM280" s="130"/>
      <c r="HN280" s="130"/>
      <c r="HO280" s="130"/>
      <c r="HP280" s="130"/>
      <c r="HQ280" s="130"/>
      <c r="HR280" s="130"/>
      <c r="HS280" s="130"/>
      <c r="HT280" s="130"/>
      <c r="HU280" s="130"/>
      <c r="HV280" s="130"/>
      <c r="HW280" s="130"/>
      <c r="HX280" s="130"/>
      <c r="HY280" s="130"/>
      <c r="HZ280" s="130"/>
      <c r="IA280" s="130"/>
      <c r="IB280" s="130"/>
      <c r="IC280" s="130"/>
      <c r="ID280" s="130"/>
      <c r="IE280" s="130"/>
      <c r="IF280" s="130"/>
      <c r="IG280" s="130"/>
      <c r="IH280" s="130"/>
      <c r="II280" s="130"/>
      <c r="IJ280" s="130"/>
      <c r="IK280" s="130"/>
      <c r="IL280" s="130"/>
      <c r="IM280" s="130"/>
      <c r="IN280" s="130"/>
      <c r="IO280" s="130"/>
      <c r="IP280" s="130"/>
      <c r="IQ280" s="130"/>
      <c r="IR280" s="130"/>
      <c r="IS280" s="130"/>
      <c r="IT280" s="130"/>
      <c r="IU280" s="130"/>
    </row>
    <row r="281" spans="1:255" s="123" customFormat="1" ht="37.5" customHeight="1">
      <c r="A281" s="216"/>
      <c r="B281" s="217"/>
      <c r="C281" s="217"/>
      <c r="D281" s="217"/>
      <c r="E281" s="218"/>
      <c r="F281" s="218"/>
      <c r="G281" s="220"/>
      <c r="H281" s="220"/>
      <c r="I281" s="220"/>
      <c r="J281" s="220"/>
      <c r="K281" s="124"/>
      <c r="L281" s="214"/>
      <c r="M281" s="215"/>
      <c r="N281" s="215"/>
      <c r="O281" s="215"/>
      <c r="P281" s="215"/>
      <c r="Q281" s="215"/>
      <c r="R281" s="215"/>
      <c r="S281" s="215"/>
      <c r="T281" s="126" t="s">
        <v>493</v>
      </c>
      <c r="U281" s="112"/>
      <c r="V281" s="125"/>
      <c r="W281" s="125" t="str">
        <f>'[1]bang gia'!$C$46</f>
        <v>đồng/cây</v>
      </c>
      <c r="X281" s="120">
        <v>1</v>
      </c>
      <c r="Y281" s="120"/>
      <c r="Z281" s="124"/>
      <c r="AA281" s="121"/>
      <c r="AB281" s="120"/>
      <c r="AC281" s="212"/>
      <c r="AD281" s="212"/>
    </row>
    <row r="282" spans="1:255" s="123" customFormat="1" ht="20.25" customHeight="1">
      <c r="A282" s="216"/>
      <c r="B282" s="217"/>
      <c r="C282" s="217"/>
      <c r="D282" s="217"/>
      <c r="E282" s="218"/>
      <c r="F282" s="218"/>
      <c r="G282" s="220"/>
      <c r="H282" s="220"/>
      <c r="I282" s="220"/>
      <c r="J282" s="220"/>
      <c r="K282" s="124"/>
      <c r="L282" s="214"/>
      <c r="M282" s="215"/>
      <c r="N282" s="215"/>
      <c r="O282" s="215"/>
      <c r="P282" s="215"/>
      <c r="Q282" s="215"/>
      <c r="R282" s="215"/>
      <c r="S282" s="215"/>
      <c r="T282" s="104" t="s">
        <v>399</v>
      </c>
      <c r="U282" s="112">
        <v>25</v>
      </c>
      <c r="V282" s="127">
        <f>(G280-X280)/25</f>
        <v>1.44</v>
      </c>
      <c r="W282" s="125" t="str">
        <f>'[1]bang gia'!$C$46</f>
        <v>đồng/cây</v>
      </c>
      <c r="X282" s="120">
        <v>1</v>
      </c>
      <c r="Y282" s="120">
        <v>4500000</v>
      </c>
      <c r="Z282" s="124"/>
      <c r="AA282" s="121">
        <v>1</v>
      </c>
      <c r="AB282" s="122">
        <f>X282*Y282*AA282</f>
        <v>4500000</v>
      </c>
      <c r="AC282" s="212"/>
      <c r="AD282" s="212"/>
    </row>
    <row r="283" spans="1:255" s="123" customFormat="1" ht="38.25" customHeight="1">
      <c r="A283" s="216"/>
      <c r="B283" s="217"/>
      <c r="C283" s="217"/>
      <c r="D283" s="217"/>
      <c r="E283" s="218"/>
      <c r="F283" s="218"/>
      <c r="G283" s="220"/>
      <c r="H283" s="220"/>
      <c r="I283" s="220"/>
      <c r="J283" s="220"/>
      <c r="K283" s="124"/>
      <c r="L283" s="214"/>
      <c r="M283" s="215"/>
      <c r="N283" s="215"/>
      <c r="O283" s="215"/>
      <c r="P283" s="215"/>
      <c r="Q283" s="215"/>
      <c r="R283" s="215"/>
      <c r="S283" s="215"/>
      <c r="T283" s="94" t="s">
        <v>643</v>
      </c>
      <c r="U283" s="129">
        <v>20</v>
      </c>
      <c r="V283" s="127">
        <f>(G280-X280)/20</f>
        <v>1.8</v>
      </c>
      <c r="W283" s="125" t="str">
        <f>'[1]bang gia'!$C$46</f>
        <v>đồng/cây</v>
      </c>
      <c r="X283" s="122">
        <v>1</v>
      </c>
      <c r="Y283" s="98"/>
      <c r="Z283" s="124"/>
      <c r="AA283" s="121"/>
      <c r="AB283" s="122"/>
      <c r="AC283" s="212"/>
      <c r="AD283" s="212"/>
    </row>
    <row r="284" spans="1:255" s="123" customFormat="1" ht="24" customHeight="1">
      <c r="A284" s="216"/>
      <c r="B284" s="217"/>
      <c r="C284" s="217"/>
      <c r="D284" s="217"/>
      <c r="E284" s="218"/>
      <c r="F284" s="218"/>
      <c r="G284" s="220"/>
      <c r="H284" s="220"/>
      <c r="I284" s="220"/>
      <c r="J284" s="220"/>
      <c r="K284" s="124"/>
      <c r="L284" s="214"/>
      <c r="M284" s="215"/>
      <c r="N284" s="215"/>
      <c r="O284" s="215"/>
      <c r="P284" s="215"/>
      <c r="Q284" s="215"/>
      <c r="R284" s="215"/>
      <c r="S284" s="215"/>
      <c r="T284" s="104" t="s">
        <v>399</v>
      </c>
      <c r="U284" s="112"/>
      <c r="V284" s="125"/>
      <c r="W284" s="125" t="str">
        <f>'[1]bang gia'!$C$46</f>
        <v>đồng/cây</v>
      </c>
      <c r="X284" s="122">
        <v>1</v>
      </c>
      <c r="Y284" s="98">
        <v>2500000</v>
      </c>
      <c r="Z284" s="124"/>
      <c r="AA284" s="128">
        <v>0.3</v>
      </c>
      <c r="AB284" s="122">
        <f>X284*Y284*AA284</f>
        <v>750000</v>
      </c>
      <c r="AC284" s="212"/>
      <c r="AD284" s="212"/>
    </row>
    <row r="285" spans="1:255" s="123" customFormat="1" ht="24" customHeight="1">
      <c r="A285" s="216"/>
      <c r="B285" s="217"/>
      <c r="C285" s="217"/>
      <c r="D285" s="217"/>
      <c r="E285" s="218"/>
      <c r="F285" s="218"/>
      <c r="G285" s="220"/>
      <c r="H285" s="220"/>
      <c r="I285" s="220"/>
      <c r="J285" s="220"/>
      <c r="K285" s="124"/>
      <c r="L285" s="214"/>
      <c r="M285" s="215"/>
      <c r="N285" s="215"/>
      <c r="O285" s="215"/>
      <c r="P285" s="215"/>
      <c r="Q285" s="215"/>
      <c r="R285" s="215"/>
      <c r="S285" s="215"/>
      <c r="T285" s="126" t="s">
        <v>644</v>
      </c>
      <c r="U285" s="129"/>
      <c r="V285" s="125"/>
      <c r="W285" s="125" t="s">
        <v>7</v>
      </c>
      <c r="X285" s="122"/>
      <c r="Y285" s="98"/>
      <c r="Z285" s="124"/>
      <c r="AA285" s="121"/>
      <c r="AB285" s="122"/>
      <c r="AC285" s="212"/>
      <c r="AD285" s="212"/>
    </row>
    <row r="286" spans="1:255" s="123" customFormat="1" ht="36.75" customHeight="1">
      <c r="A286" s="216">
        <v>25</v>
      </c>
      <c r="B286" s="217" t="s">
        <v>645</v>
      </c>
      <c r="C286" s="217">
        <v>64</v>
      </c>
      <c r="D286" s="217">
        <v>338</v>
      </c>
      <c r="E286" s="218">
        <v>384.4</v>
      </c>
      <c r="F286" s="218" t="s">
        <v>393</v>
      </c>
      <c r="G286" s="219">
        <v>360</v>
      </c>
      <c r="H286" s="220">
        <f>E286-G286</f>
        <v>24.399999999999977</v>
      </c>
      <c r="I286" s="220">
        <v>360</v>
      </c>
      <c r="J286" s="213">
        <v>1440</v>
      </c>
      <c r="K286" s="124"/>
      <c r="L286" s="214">
        <f>I286/J286*100</f>
        <v>25</v>
      </c>
      <c r="M286" s="215">
        <f>IF(L286&lt;10,2,IF(L286&lt;20,3,IF(L286&lt;30,5,IF(L286&gt;=70,12,IF(L286&gt;=30,6)))))</f>
        <v>5</v>
      </c>
      <c r="N286" s="215">
        <v>4</v>
      </c>
      <c r="O286" s="215">
        <f>$O$6</f>
        <v>80000</v>
      </c>
      <c r="P286" s="215">
        <f>I286*O286</f>
        <v>28800000</v>
      </c>
      <c r="Q286" s="215">
        <f>$Q$6*I286</f>
        <v>86400000</v>
      </c>
      <c r="R286" s="215">
        <f>M286*N286*$R$6</f>
        <v>10200000</v>
      </c>
      <c r="S286" s="215">
        <f>R286+Q286+P286</f>
        <v>125400000</v>
      </c>
      <c r="T286" s="117" t="s">
        <v>491</v>
      </c>
      <c r="U286" s="112"/>
      <c r="V286" s="125"/>
      <c r="W286" s="118" t="s">
        <v>0</v>
      </c>
      <c r="X286" s="119">
        <v>320</v>
      </c>
      <c r="Y286" s="120">
        <v>97000</v>
      </c>
      <c r="Z286" s="124"/>
      <c r="AA286" s="121">
        <v>1</v>
      </c>
      <c r="AB286" s="122">
        <f>X286*Y286*AA286</f>
        <v>31040000</v>
      </c>
      <c r="AC286" s="212">
        <f>SUM(AB286:AB292)</f>
        <v>38040000</v>
      </c>
      <c r="AD286" s="212">
        <f>AC286+S286</f>
        <v>163440000</v>
      </c>
      <c r="AE286" s="130" t="s">
        <v>590</v>
      </c>
      <c r="AF286" s="130"/>
      <c r="AG286" s="130"/>
      <c r="AH286" s="130"/>
      <c r="AI286" s="130"/>
      <c r="AJ286" s="130"/>
      <c r="AK286" s="130"/>
      <c r="AL286" s="130"/>
      <c r="AM286" s="130"/>
      <c r="AN286" s="130"/>
      <c r="AO286" s="130"/>
      <c r="AP286" s="130"/>
      <c r="AQ286" s="130"/>
      <c r="AR286" s="130"/>
      <c r="AS286" s="130"/>
      <c r="AT286" s="130"/>
      <c r="AU286" s="130"/>
      <c r="AV286" s="130"/>
      <c r="AW286" s="130"/>
      <c r="AX286" s="130"/>
      <c r="AY286" s="130"/>
      <c r="AZ286" s="130"/>
      <c r="BA286" s="130"/>
      <c r="BB286" s="130"/>
      <c r="BC286" s="130"/>
      <c r="BD286" s="130"/>
      <c r="BE286" s="130"/>
      <c r="BF286" s="130"/>
      <c r="BG286" s="130"/>
      <c r="BH286" s="130"/>
      <c r="BI286" s="130"/>
      <c r="BJ286" s="130"/>
      <c r="BK286" s="130"/>
      <c r="BL286" s="130"/>
      <c r="BM286" s="130"/>
      <c r="BN286" s="130"/>
      <c r="BO286" s="130"/>
      <c r="BP286" s="130"/>
      <c r="BQ286" s="130"/>
      <c r="BR286" s="130"/>
      <c r="BS286" s="130"/>
      <c r="BT286" s="130"/>
      <c r="BU286" s="130"/>
      <c r="BV286" s="130"/>
      <c r="BW286" s="130"/>
      <c r="BX286" s="130"/>
      <c r="BY286" s="130"/>
      <c r="BZ286" s="130"/>
      <c r="CA286" s="130"/>
      <c r="CB286" s="130"/>
      <c r="CC286" s="130"/>
      <c r="CD286" s="130"/>
      <c r="CE286" s="130"/>
      <c r="CF286" s="130"/>
      <c r="CG286" s="130"/>
      <c r="CH286" s="130"/>
      <c r="CI286" s="130"/>
      <c r="CJ286" s="130"/>
      <c r="CK286" s="130"/>
      <c r="CL286" s="130"/>
      <c r="CM286" s="130"/>
      <c r="CN286" s="130"/>
      <c r="CO286" s="130"/>
      <c r="CP286" s="130"/>
      <c r="CQ286" s="130"/>
      <c r="CR286" s="130"/>
      <c r="CS286" s="130"/>
      <c r="CT286" s="130"/>
      <c r="CU286" s="130"/>
      <c r="CV286" s="130"/>
      <c r="CW286" s="130"/>
      <c r="CX286" s="130"/>
      <c r="CY286" s="130"/>
      <c r="CZ286" s="130"/>
      <c r="DA286" s="130"/>
      <c r="DB286" s="130"/>
      <c r="DC286" s="130"/>
      <c r="DD286" s="130"/>
      <c r="DE286" s="130"/>
      <c r="DF286" s="130"/>
      <c r="DG286" s="130"/>
      <c r="DH286" s="130"/>
      <c r="DI286" s="130"/>
      <c r="DJ286" s="130"/>
      <c r="DK286" s="130"/>
      <c r="DL286" s="130"/>
      <c r="DM286" s="130"/>
      <c r="DN286" s="130"/>
      <c r="DO286" s="130"/>
      <c r="DP286" s="130"/>
      <c r="DQ286" s="130"/>
      <c r="DR286" s="130"/>
      <c r="DS286" s="130"/>
      <c r="DT286" s="130"/>
      <c r="DU286" s="130"/>
      <c r="DV286" s="130"/>
      <c r="DW286" s="130"/>
      <c r="DX286" s="130"/>
      <c r="DY286" s="130"/>
      <c r="DZ286" s="130"/>
      <c r="EA286" s="130"/>
      <c r="EB286" s="130"/>
      <c r="EC286" s="130"/>
      <c r="ED286" s="130"/>
      <c r="EE286" s="130"/>
      <c r="EF286" s="130"/>
      <c r="EG286" s="130"/>
      <c r="EH286" s="130"/>
      <c r="EI286" s="130"/>
      <c r="EJ286" s="130"/>
      <c r="EK286" s="130"/>
      <c r="EL286" s="130"/>
      <c r="EM286" s="130"/>
      <c r="EN286" s="130"/>
      <c r="EO286" s="130"/>
      <c r="EP286" s="130"/>
      <c r="EQ286" s="130"/>
      <c r="ER286" s="130"/>
      <c r="ES286" s="130"/>
      <c r="ET286" s="130"/>
      <c r="EU286" s="130"/>
      <c r="EV286" s="130"/>
      <c r="EW286" s="130"/>
      <c r="EX286" s="130"/>
      <c r="EY286" s="130"/>
      <c r="EZ286" s="130"/>
      <c r="FA286" s="130"/>
      <c r="FB286" s="130"/>
      <c r="FC286" s="130"/>
      <c r="FD286" s="130"/>
      <c r="FE286" s="130"/>
      <c r="FF286" s="130"/>
      <c r="FG286" s="130"/>
      <c r="FH286" s="130"/>
      <c r="FI286" s="130"/>
      <c r="FJ286" s="130"/>
      <c r="FK286" s="130"/>
      <c r="FL286" s="130"/>
      <c r="FM286" s="130"/>
      <c r="FN286" s="130"/>
      <c r="FO286" s="130"/>
      <c r="FP286" s="130"/>
      <c r="FQ286" s="130"/>
      <c r="FR286" s="130"/>
      <c r="FS286" s="130"/>
      <c r="FT286" s="130"/>
      <c r="FU286" s="130"/>
      <c r="FV286" s="130"/>
      <c r="FW286" s="130"/>
      <c r="FX286" s="130"/>
      <c r="FY286" s="130"/>
      <c r="FZ286" s="130"/>
      <c r="GA286" s="130"/>
      <c r="GB286" s="130"/>
      <c r="GC286" s="130"/>
      <c r="GD286" s="130"/>
      <c r="GE286" s="130"/>
      <c r="GF286" s="130"/>
      <c r="GG286" s="130"/>
      <c r="GH286" s="130"/>
      <c r="GI286" s="130"/>
      <c r="GJ286" s="130"/>
      <c r="GK286" s="130"/>
      <c r="GL286" s="130"/>
      <c r="GM286" s="130"/>
      <c r="GN286" s="130"/>
      <c r="GO286" s="130"/>
      <c r="GP286" s="130"/>
      <c r="GQ286" s="130"/>
      <c r="GR286" s="130"/>
      <c r="GS286" s="130"/>
      <c r="GT286" s="130"/>
      <c r="GU286" s="130"/>
      <c r="GV286" s="130"/>
      <c r="GW286" s="130"/>
      <c r="GX286" s="130"/>
      <c r="GY286" s="130"/>
      <c r="GZ286" s="130"/>
      <c r="HA286" s="130"/>
      <c r="HB286" s="130"/>
      <c r="HC286" s="130"/>
      <c r="HD286" s="130"/>
      <c r="HE286" s="130"/>
      <c r="HF286" s="130"/>
      <c r="HG286" s="130"/>
      <c r="HH286" s="130"/>
      <c r="HI286" s="130"/>
      <c r="HJ286" s="130"/>
      <c r="HK286" s="130"/>
      <c r="HL286" s="130"/>
      <c r="HM286" s="130"/>
      <c r="HN286" s="130"/>
      <c r="HO286" s="130"/>
      <c r="HP286" s="130"/>
      <c r="HQ286" s="130"/>
      <c r="HR286" s="130"/>
      <c r="HS286" s="130"/>
      <c r="HT286" s="130"/>
      <c r="HU286" s="130"/>
      <c r="HV286" s="130"/>
      <c r="HW286" s="130"/>
      <c r="HX286" s="130"/>
      <c r="HY286" s="130"/>
      <c r="HZ286" s="130"/>
      <c r="IA286" s="130"/>
      <c r="IB286" s="130"/>
      <c r="IC286" s="130"/>
      <c r="ID286" s="130"/>
      <c r="IE286" s="130"/>
      <c r="IF286" s="130"/>
      <c r="IG286" s="130"/>
      <c r="IH286" s="130"/>
      <c r="II286" s="130"/>
      <c r="IJ286" s="130"/>
      <c r="IK286" s="130"/>
      <c r="IL286" s="130"/>
      <c r="IM286" s="130"/>
      <c r="IN286" s="130"/>
      <c r="IO286" s="130"/>
      <c r="IP286" s="130"/>
      <c r="IQ286" s="130"/>
      <c r="IR286" s="130"/>
      <c r="IS286" s="130"/>
      <c r="IT286" s="130"/>
      <c r="IU286" s="130"/>
    </row>
    <row r="287" spans="1:255" s="123" customFormat="1" ht="38.25" customHeight="1">
      <c r="A287" s="216"/>
      <c r="B287" s="217"/>
      <c r="C287" s="217"/>
      <c r="D287" s="217"/>
      <c r="E287" s="218"/>
      <c r="F287" s="218"/>
      <c r="G287" s="219"/>
      <c r="H287" s="220"/>
      <c r="I287" s="220"/>
      <c r="J287" s="213"/>
      <c r="K287" s="124"/>
      <c r="L287" s="214"/>
      <c r="M287" s="215"/>
      <c r="N287" s="215"/>
      <c r="O287" s="215"/>
      <c r="P287" s="215"/>
      <c r="Q287" s="215"/>
      <c r="R287" s="215"/>
      <c r="S287" s="215"/>
      <c r="T287" s="126" t="s">
        <v>493</v>
      </c>
      <c r="U287" s="112">
        <v>25</v>
      </c>
      <c r="V287" s="127">
        <f>(G286-X286)/25</f>
        <v>1.6</v>
      </c>
      <c r="W287" s="125" t="str">
        <f>'[1]bang gia'!$C$46</f>
        <v>đồng/cây</v>
      </c>
      <c r="X287" s="120">
        <v>1</v>
      </c>
      <c r="Y287" s="120"/>
      <c r="Z287" s="124"/>
      <c r="AA287" s="121"/>
      <c r="AB287" s="122"/>
      <c r="AC287" s="212"/>
      <c r="AD287" s="212"/>
    </row>
    <row r="288" spans="1:255" s="123" customFormat="1" ht="25.5" customHeight="1">
      <c r="A288" s="216"/>
      <c r="B288" s="217"/>
      <c r="C288" s="217"/>
      <c r="D288" s="217"/>
      <c r="E288" s="218"/>
      <c r="F288" s="218"/>
      <c r="G288" s="219"/>
      <c r="H288" s="220"/>
      <c r="I288" s="220"/>
      <c r="J288" s="213"/>
      <c r="K288" s="124"/>
      <c r="L288" s="214"/>
      <c r="M288" s="215"/>
      <c r="N288" s="215"/>
      <c r="O288" s="215"/>
      <c r="P288" s="215"/>
      <c r="Q288" s="215"/>
      <c r="R288" s="215"/>
      <c r="S288" s="215"/>
      <c r="T288" s="104" t="s">
        <v>399</v>
      </c>
      <c r="U288" s="112"/>
      <c r="V288" s="125"/>
      <c r="W288" s="125" t="str">
        <f>'[1]bang gia'!$C$46</f>
        <v>đồng/cây</v>
      </c>
      <c r="X288" s="120">
        <v>1</v>
      </c>
      <c r="Y288" s="120">
        <v>4500000</v>
      </c>
      <c r="Z288" s="124"/>
      <c r="AA288" s="121">
        <v>1</v>
      </c>
      <c r="AB288" s="122">
        <f>X288*Y288*AA288</f>
        <v>4500000</v>
      </c>
      <c r="AC288" s="212"/>
      <c r="AD288" s="212"/>
    </row>
    <row r="289" spans="1:32" s="123" customFormat="1" ht="36.75" customHeight="1">
      <c r="A289" s="216"/>
      <c r="B289" s="217"/>
      <c r="C289" s="217"/>
      <c r="D289" s="217"/>
      <c r="E289" s="218"/>
      <c r="F289" s="218"/>
      <c r="G289" s="219"/>
      <c r="H289" s="220"/>
      <c r="I289" s="220"/>
      <c r="J289" s="213"/>
      <c r="K289" s="124"/>
      <c r="L289" s="214"/>
      <c r="M289" s="215"/>
      <c r="N289" s="215"/>
      <c r="O289" s="215"/>
      <c r="P289" s="215"/>
      <c r="Q289" s="215"/>
      <c r="R289" s="215"/>
      <c r="S289" s="215"/>
      <c r="T289" s="94" t="s">
        <v>643</v>
      </c>
      <c r="U289" s="129">
        <f>20</f>
        <v>20</v>
      </c>
      <c r="V289" s="127">
        <f>(G286-X286)/20</f>
        <v>2</v>
      </c>
      <c r="W289" s="125" t="str">
        <f>'[1]bang gia'!$C$46</f>
        <v>đồng/cây</v>
      </c>
      <c r="X289" s="122">
        <v>3</v>
      </c>
      <c r="Y289" s="98"/>
      <c r="Z289" s="124"/>
      <c r="AA289" s="121"/>
      <c r="AB289" s="122"/>
      <c r="AC289" s="212"/>
      <c r="AD289" s="212"/>
    </row>
    <row r="290" spans="1:32" s="123" customFormat="1" ht="25.5" customHeight="1">
      <c r="A290" s="216"/>
      <c r="B290" s="217"/>
      <c r="C290" s="217"/>
      <c r="D290" s="217"/>
      <c r="E290" s="218"/>
      <c r="F290" s="218"/>
      <c r="G290" s="219"/>
      <c r="H290" s="220"/>
      <c r="I290" s="220"/>
      <c r="J290" s="213"/>
      <c r="K290" s="124"/>
      <c r="L290" s="214"/>
      <c r="M290" s="215"/>
      <c r="N290" s="215"/>
      <c r="O290" s="215"/>
      <c r="P290" s="215"/>
      <c r="Q290" s="215"/>
      <c r="R290" s="215"/>
      <c r="S290" s="215"/>
      <c r="T290" s="104" t="s">
        <v>399</v>
      </c>
      <c r="U290" s="112"/>
      <c r="V290" s="125"/>
      <c r="W290" s="125" t="str">
        <f>'[1]bang gia'!$C$46</f>
        <v>đồng/cây</v>
      </c>
      <c r="X290" s="120">
        <v>2</v>
      </c>
      <c r="Y290" s="120">
        <v>2500000</v>
      </c>
      <c r="Z290" s="124"/>
      <c r="AA290" s="128">
        <v>0.5</v>
      </c>
      <c r="AB290" s="122">
        <f>X290*Y290*AA290</f>
        <v>2500000</v>
      </c>
      <c r="AC290" s="212"/>
      <c r="AD290" s="212"/>
    </row>
    <row r="291" spans="1:32" s="123" customFormat="1" ht="25.5" customHeight="1">
      <c r="A291" s="216"/>
      <c r="B291" s="217"/>
      <c r="C291" s="217"/>
      <c r="D291" s="217"/>
      <c r="E291" s="218"/>
      <c r="F291" s="218"/>
      <c r="G291" s="219"/>
      <c r="H291" s="220"/>
      <c r="I291" s="220"/>
      <c r="J291" s="213"/>
      <c r="K291" s="124"/>
      <c r="L291" s="214"/>
      <c r="M291" s="215"/>
      <c r="N291" s="215"/>
      <c r="O291" s="215"/>
      <c r="P291" s="215"/>
      <c r="Q291" s="215"/>
      <c r="R291" s="215"/>
      <c r="S291" s="215"/>
      <c r="T291" s="104" t="s">
        <v>417</v>
      </c>
      <c r="U291" s="112"/>
      <c r="V291" s="125"/>
      <c r="W291" s="125" t="str">
        <f>'[1]bang gia'!$C$46</f>
        <v>đồng/cây</v>
      </c>
      <c r="X291" s="120">
        <v>1</v>
      </c>
      <c r="Y291" s="120">
        <v>2500000</v>
      </c>
      <c r="Z291" s="124"/>
      <c r="AA291" s="128">
        <v>0</v>
      </c>
      <c r="AB291" s="122">
        <f>X291*Y291*AA291</f>
        <v>0</v>
      </c>
      <c r="AC291" s="212"/>
      <c r="AD291" s="212"/>
    </row>
    <row r="292" spans="1:32" s="123" customFormat="1" ht="25.5" customHeight="1">
      <c r="A292" s="216"/>
      <c r="B292" s="217"/>
      <c r="C292" s="217"/>
      <c r="D292" s="217"/>
      <c r="E292" s="218"/>
      <c r="F292" s="218"/>
      <c r="G292" s="219"/>
      <c r="H292" s="220"/>
      <c r="I292" s="220"/>
      <c r="J292" s="213"/>
      <c r="K292" s="124"/>
      <c r="L292" s="214"/>
      <c r="M292" s="215"/>
      <c r="N292" s="215"/>
      <c r="O292" s="215"/>
      <c r="P292" s="215"/>
      <c r="Q292" s="215"/>
      <c r="R292" s="215"/>
      <c r="S292" s="215"/>
      <c r="T292" s="126" t="s">
        <v>528</v>
      </c>
      <c r="U292" s="129"/>
      <c r="V292" s="125"/>
      <c r="W292" s="125" t="s">
        <v>7</v>
      </c>
      <c r="X292" s="122"/>
      <c r="Y292" s="98"/>
      <c r="Z292" s="124"/>
      <c r="AA292" s="128">
        <v>0</v>
      </c>
      <c r="AB292" s="122">
        <f>X292*Y292*AA292</f>
        <v>0</v>
      </c>
      <c r="AC292" s="212"/>
      <c r="AD292" s="212"/>
    </row>
    <row r="293" spans="1:32" s="14" customFormat="1" ht="27" customHeight="1">
      <c r="A293" s="15"/>
      <c r="B293" s="16" t="s">
        <v>398</v>
      </c>
      <c r="C293" s="17"/>
      <c r="D293" s="17"/>
      <c r="E293" s="17"/>
      <c r="F293" s="17"/>
      <c r="G293" s="15"/>
      <c r="H293" s="18"/>
      <c r="I293" s="19"/>
      <c r="J293" s="19"/>
      <c r="K293" s="15"/>
      <c r="L293" s="20"/>
      <c r="M293" s="21"/>
      <c r="N293" s="21"/>
      <c r="O293" s="21"/>
      <c r="P293" s="21"/>
      <c r="Q293" s="21"/>
      <c r="R293" s="21"/>
      <c r="S293" s="21"/>
      <c r="T293" s="22"/>
      <c r="U293" s="18"/>
      <c r="V293" s="18"/>
      <c r="W293" s="15"/>
      <c r="X293" s="21"/>
      <c r="Y293" s="21"/>
      <c r="Z293" s="23"/>
      <c r="AA293" s="24"/>
      <c r="AB293" s="25"/>
      <c r="AC293" s="21"/>
      <c r="AD293" s="21"/>
      <c r="AE293" s="13"/>
    </row>
    <row r="294" spans="1:32" s="101" customFormat="1" ht="32.25" customHeight="1">
      <c r="A294" s="242">
        <v>26</v>
      </c>
      <c r="B294" s="265" t="s">
        <v>445</v>
      </c>
      <c r="C294" s="255">
        <v>64</v>
      </c>
      <c r="D294" s="255">
        <v>422</v>
      </c>
      <c r="E294" s="255">
        <v>636.5</v>
      </c>
      <c r="F294" s="255" t="s">
        <v>26</v>
      </c>
      <c r="G294" s="255">
        <v>648</v>
      </c>
      <c r="H294" s="255">
        <f>E294-G294</f>
        <v>-11.5</v>
      </c>
      <c r="I294" s="248">
        <f>G294+G298</f>
        <v>1008</v>
      </c>
      <c r="J294" s="248">
        <v>3240</v>
      </c>
      <c r="K294" s="255"/>
      <c r="L294" s="256">
        <f>I294/J294*100</f>
        <v>31.111111111111111</v>
      </c>
      <c r="M294" s="254">
        <v>6</v>
      </c>
      <c r="N294" s="254">
        <v>7</v>
      </c>
      <c r="O294" s="248">
        <v>80000</v>
      </c>
      <c r="P294" s="248">
        <f>O294*I294</f>
        <v>80640000</v>
      </c>
      <c r="Q294" s="248">
        <f>P294*3</f>
        <v>241920000</v>
      </c>
      <c r="R294" s="248">
        <f>M294*N294*R6</f>
        <v>21420000</v>
      </c>
      <c r="S294" s="248">
        <f>SUM(P294:R299)</f>
        <v>343980000</v>
      </c>
      <c r="T294" s="95" t="s">
        <v>410</v>
      </c>
      <c r="U294" s="102">
        <v>25</v>
      </c>
      <c r="V294" s="102">
        <f>G294/U294</f>
        <v>25.92</v>
      </c>
      <c r="W294" s="96" t="s">
        <v>2</v>
      </c>
      <c r="X294" s="97">
        <v>30</v>
      </c>
      <c r="Y294" s="98"/>
      <c r="Z294" s="103"/>
      <c r="AA294" s="99"/>
      <c r="AB294" s="97">
        <f t="shared" ref="AB294:AB296" si="13">X294*Y294*AA294</f>
        <v>0</v>
      </c>
      <c r="AC294" s="248">
        <f>SUM(AB294:AB297)</f>
        <v>126000000</v>
      </c>
      <c r="AD294" s="241">
        <f>S294+AC294+AC298</f>
        <v>504900000</v>
      </c>
      <c r="AE294" s="100" t="s">
        <v>419</v>
      </c>
    </row>
    <row r="295" spans="1:32" s="101" customFormat="1" ht="21" customHeight="1">
      <c r="A295" s="242"/>
      <c r="B295" s="265"/>
      <c r="C295" s="255"/>
      <c r="D295" s="255"/>
      <c r="E295" s="255"/>
      <c r="F295" s="255"/>
      <c r="G295" s="255"/>
      <c r="H295" s="255"/>
      <c r="I295" s="248"/>
      <c r="J295" s="248"/>
      <c r="K295" s="255"/>
      <c r="L295" s="256"/>
      <c r="M295" s="254"/>
      <c r="N295" s="254"/>
      <c r="O295" s="248"/>
      <c r="P295" s="248"/>
      <c r="Q295" s="248"/>
      <c r="R295" s="248"/>
      <c r="S295" s="248"/>
      <c r="T295" s="104" t="s">
        <v>399</v>
      </c>
      <c r="U295" s="102"/>
      <c r="V295" s="102"/>
      <c r="W295" s="96" t="s">
        <v>2</v>
      </c>
      <c r="X295" s="97">
        <v>26</v>
      </c>
      <c r="Y295" s="98">
        <v>4500000</v>
      </c>
      <c r="Z295" s="103"/>
      <c r="AA295" s="99">
        <v>1</v>
      </c>
      <c r="AB295" s="97">
        <f t="shared" si="13"/>
        <v>117000000</v>
      </c>
      <c r="AC295" s="248"/>
      <c r="AD295" s="241"/>
      <c r="AE295" s="100"/>
    </row>
    <row r="296" spans="1:32" s="101" customFormat="1" ht="21" customHeight="1">
      <c r="A296" s="242"/>
      <c r="B296" s="265"/>
      <c r="C296" s="255"/>
      <c r="D296" s="255"/>
      <c r="E296" s="255"/>
      <c r="F296" s="255"/>
      <c r="G296" s="255"/>
      <c r="H296" s="255"/>
      <c r="I296" s="248"/>
      <c r="J296" s="248"/>
      <c r="K296" s="255"/>
      <c r="L296" s="256"/>
      <c r="M296" s="254"/>
      <c r="N296" s="254"/>
      <c r="O296" s="248"/>
      <c r="P296" s="248"/>
      <c r="Q296" s="248"/>
      <c r="R296" s="248"/>
      <c r="S296" s="248"/>
      <c r="T296" s="104" t="s">
        <v>401</v>
      </c>
      <c r="U296" s="102"/>
      <c r="V296" s="102">
        <f>0.3*V294</f>
        <v>7.7759999999999998</v>
      </c>
      <c r="W296" s="96" t="s">
        <v>2</v>
      </c>
      <c r="X296" s="97">
        <v>4</v>
      </c>
      <c r="Y296" s="98">
        <v>4500000</v>
      </c>
      <c r="Z296" s="105"/>
      <c r="AA296" s="106">
        <v>0.5</v>
      </c>
      <c r="AB296" s="97">
        <f t="shared" si="13"/>
        <v>9000000</v>
      </c>
      <c r="AC296" s="248"/>
      <c r="AD296" s="241"/>
      <c r="AE296" s="100"/>
    </row>
    <row r="297" spans="1:32" s="101" customFormat="1" ht="21" customHeight="1">
      <c r="A297" s="242"/>
      <c r="B297" s="265"/>
      <c r="C297" s="255"/>
      <c r="D297" s="255"/>
      <c r="E297" s="255"/>
      <c r="F297" s="255"/>
      <c r="G297" s="255"/>
      <c r="H297" s="255"/>
      <c r="I297" s="248"/>
      <c r="J297" s="248"/>
      <c r="K297" s="255"/>
      <c r="L297" s="256"/>
      <c r="M297" s="254"/>
      <c r="N297" s="254"/>
      <c r="O297" s="248"/>
      <c r="P297" s="248"/>
      <c r="Q297" s="248"/>
      <c r="R297" s="248"/>
      <c r="S297" s="248"/>
      <c r="T297" s="107" t="s">
        <v>423</v>
      </c>
      <c r="U297" s="102"/>
      <c r="V297" s="102"/>
      <c r="W297" s="96" t="s">
        <v>395</v>
      </c>
      <c r="X297" s="97">
        <v>1</v>
      </c>
      <c r="Y297" s="98"/>
      <c r="Z297" s="108"/>
      <c r="AA297" s="99">
        <v>0</v>
      </c>
      <c r="AB297" s="97">
        <f t="shared" ref="AB297" si="14">X297*Y297*AA297/100</f>
        <v>0</v>
      </c>
      <c r="AC297" s="248"/>
      <c r="AD297" s="241"/>
      <c r="AE297" s="100"/>
    </row>
    <row r="298" spans="1:32" s="101" customFormat="1" ht="33" customHeight="1">
      <c r="A298" s="242"/>
      <c r="B298" s="265"/>
      <c r="C298" s="242">
        <v>64</v>
      </c>
      <c r="D298" s="242">
        <v>803</v>
      </c>
      <c r="E298" s="242">
        <v>360.1</v>
      </c>
      <c r="F298" s="242" t="s">
        <v>393</v>
      </c>
      <c r="G298" s="251">
        <v>360</v>
      </c>
      <c r="H298" s="262">
        <f>E298-G298</f>
        <v>0.10000000000002274</v>
      </c>
      <c r="I298" s="248"/>
      <c r="J298" s="248"/>
      <c r="K298" s="262"/>
      <c r="L298" s="256"/>
      <c r="M298" s="254"/>
      <c r="N298" s="254"/>
      <c r="O298" s="248"/>
      <c r="P298" s="248"/>
      <c r="Q298" s="248"/>
      <c r="R298" s="248"/>
      <c r="S298" s="248"/>
      <c r="T298" s="94" t="s">
        <v>418</v>
      </c>
      <c r="U298" s="109"/>
      <c r="V298" s="109"/>
      <c r="W298" s="96" t="s">
        <v>0</v>
      </c>
      <c r="X298" s="110">
        <v>360</v>
      </c>
      <c r="Y298" s="98">
        <v>97000</v>
      </c>
      <c r="Z298" s="105"/>
      <c r="AA298" s="106">
        <v>1</v>
      </c>
      <c r="AB298" s="97">
        <f>X298*Y298*AA298</f>
        <v>34920000</v>
      </c>
      <c r="AC298" s="248">
        <f>SUM(AB298:AB299)</f>
        <v>34920000</v>
      </c>
      <c r="AD298" s="241"/>
      <c r="AE298" s="111"/>
    </row>
    <row r="299" spans="1:32" s="101" customFormat="1" ht="24.75" customHeight="1">
      <c r="A299" s="242"/>
      <c r="B299" s="265"/>
      <c r="C299" s="242"/>
      <c r="D299" s="242"/>
      <c r="E299" s="242"/>
      <c r="F299" s="242"/>
      <c r="G299" s="251"/>
      <c r="H299" s="262"/>
      <c r="I299" s="248"/>
      <c r="J299" s="248"/>
      <c r="K299" s="262"/>
      <c r="L299" s="256"/>
      <c r="M299" s="254"/>
      <c r="N299" s="254"/>
      <c r="O299" s="248"/>
      <c r="P299" s="248"/>
      <c r="Q299" s="248"/>
      <c r="R299" s="248"/>
      <c r="S299" s="248"/>
      <c r="T299" s="107" t="s">
        <v>446</v>
      </c>
      <c r="U299" s="102"/>
      <c r="V299" s="102"/>
      <c r="W299" s="112" t="s">
        <v>7</v>
      </c>
      <c r="X299" s="110">
        <v>26</v>
      </c>
      <c r="Y299" s="113"/>
      <c r="Z299" s="108"/>
      <c r="AA299" s="99">
        <v>0</v>
      </c>
      <c r="AB299" s="97">
        <f t="shared" ref="AB299" si="15">X299*Y299*AA299/100</f>
        <v>0</v>
      </c>
      <c r="AC299" s="248"/>
      <c r="AD299" s="241"/>
      <c r="AE299" s="100"/>
    </row>
    <row r="300" spans="1:32" s="83" customFormat="1" ht="23.25" customHeight="1">
      <c r="A300" s="269">
        <v>27</v>
      </c>
      <c r="B300" s="266" t="s">
        <v>444</v>
      </c>
      <c r="C300" s="264">
        <v>64</v>
      </c>
      <c r="D300" s="264">
        <v>408</v>
      </c>
      <c r="E300" s="264">
        <v>716.1</v>
      </c>
      <c r="F300" s="264" t="s">
        <v>26</v>
      </c>
      <c r="G300" s="249">
        <v>720</v>
      </c>
      <c r="H300" s="263">
        <f>E300-G300</f>
        <v>-3.8999999999999773</v>
      </c>
      <c r="I300" s="249">
        <v>720</v>
      </c>
      <c r="J300" s="249">
        <v>1440</v>
      </c>
      <c r="K300" s="249"/>
      <c r="L300" s="258">
        <f>I300/J300*100</f>
        <v>50</v>
      </c>
      <c r="M300" s="249">
        <v>6</v>
      </c>
      <c r="N300" s="249">
        <v>2</v>
      </c>
      <c r="O300" s="249">
        <v>80000</v>
      </c>
      <c r="P300" s="249">
        <f>O300*I300</f>
        <v>57600000</v>
      </c>
      <c r="Q300" s="249">
        <f>P300*3</f>
        <v>172800000</v>
      </c>
      <c r="R300" s="249">
        <f>M300*N300*R6</f>
        <v>6120000</v>
      </c>
      <c r="S300" s="249">
        <f>SUM(P300:R312)</f>
        <v>236520000</v>
      </c>
      <c r="T300" s="43" t="s">
        <v>432</v>
      </c>
      <c r="U300" s="72"/>
      <c r="V300" s="72"/>
      <c r="W300" s="44" t="s">
        <v>0</v>
      </c>
      <c r="X300" s="31">
        <v>360</v>
      </c>
      <c r="Y300" s="45">
        <v>200000</v>
      </c>
      <c r="Z300" s="73"/>
      <c r="AA300" s="65">
        <v>1</v>
      </c>
      <c r="AB300" s="31">
        <f t="shared" ref="AB300" si="16">X300*Y300*AA300</f>
        <v>72000000</v>
      </c>
      <c r="AC300" s="249">
        <f>SUM(AB300:AB312)</f>
        <v>122653500</v>
      </c>
      <c r="AD300" s="252">
        <f>S300+AC300</f>
        <v>359173500</v>
      </c>
      <c r="AE300" s="26" t="s">
        <v>394</v>
      </c>
      <c r="AF300" s="82"/>
    </row>
    <row r="301" spans="1:32" s="83" customFormat="1" ht="36.75" customHeight="1">
      <c r="A301" s="269"/>
      <c r="B301" s="266"/>
      <c r="C301" s="264"/>
      <c r="D301" s="264"/>
      <c r="E301" s="264"/>
      <c r="F301" s="264"/>
      <c r="G301" s="249"/>
      <c r="H301" s="263"/>
      <c r="I301" s="249"/>
      <c r="J301" s="249"/>
      <c r="K301" s="249"/>
      <c r="L301" s="258"/>
      <c r="M301" s="249"/>
      <c r="N301" s="249"/>
      <c r="O301" s="249"/>
      <c r="P301" s="249"/>
      <c r="Q301" s="249"/>
      <c r="R301" s="249"/>
      <c r="S301" s="249"/>
      <c r="T301" s="59" t="s">
        <v>427</v>
      </c>
      <c r="U301" s="72">
        <v>20</v>
      </c>
      <c r="V301" s="72">
        <f>(I300-X300)/U301</f>
        <v>18</v>
      </c>
      <c r="W301" s="48" t="s">
        <v>2</v>
      </c>
      <c r="X301" s="31">
        <v>12</v>
      </c>
      <c r="Y301" s="45"/>
      <c r="Z301" s="77"/>
      <c r="AA301" s="48"/>
      <c r="AB301" s="31"/>
      <c r="AC301" s="249"/>
      <c r="AD301" s="252"/>
      <c r="AE301" s="26"/>
      <c r="AF301" s="82"/>
    </row>
    <row r="302" spans="1:32" s="83" customFormat="1" ht="23.25" customHeight="1">
      <c r="A302" s="269"/>
      <c r="B302" s="266"/>
      <c r="C302" s="264"/>
      <c r="D302" s="264"/>
      <c r="E302" s="264"/>
      <c r="F302" s="264"/>
      <c r="G302" s="249"/>
      <c r="H302" s="263"/>
      <c r="I302" s="249"/>
      <c r="J302" s="249"/>
      <c r="K302" s="249"/>
      <c r="L302" s="258"/>
      <c r="M302" s="249"/>
      <c r="N302" s="249"/>
      <c r="O302" s="249"/>
      <c r="P302" s="249"/>
      <c r="Q302" s="249"/>
      <c r="R302" s="249"/>
      <c r="S302" s="249"/>
      <c r="T302" s="57" t="s">
        <v>399</v>
      </c>
      <c r="U302" s="72"/>
      <c r="V302" s="72"/>
      <c r="W302" s="48" t="s">
        <v>2</v>
      </c>
      <c r="X302" s="31">
        <v>12</v>
      </c>
      <c r="Y302" s="45">
        <v>2500000</v>
      </c>
      <c r="Z302" s="77"/>
      <c r="AA302" s="65">
        <v>1</v>
      </c>
      <c r="AB302" s="31">
        <f>X302*Y302*AA302</f>
        <v>30000000</v>
      </c>
      <c r="AC302" s="249"/>
      <c r="AD302" s="252"/>
      <c r="AE302" s="26"/>
      <c r="AF302" s="82"/>
    </row>
    <row r="303" spans="1:32" s="83" customFormat="1" ht="34.5" customHeight="1">
      <c r="A303" s="269"/>
      <c r="B303" s="266"/>
      <c r="C303" s="264"/>
      <c r="D303" s="264"/>
      <c r="E303" s="264"/>
      <c r="F303" s="264"/>
      <c r="G303" s="249"/>
      <c r="H303" s="263"/>
      <c r="I303" s="249"/>
      <c r="J303" s="249"/>
      <c r="K303" s="249"/>
      <c r="L303" s="258"/>
      <c r="M303" s="249"/>
      <c r="N303" s="249"/>
      <c r="O303" s="249"/>
      <c r="P303" s="249"/>
      <c r="Q303" s="249"/>
      <c r="R303" s="249"/>
      <c r="S303" s="249"/>
      <c r="T303" s="43" t="s">
        <v>487</v>
      </c>
      <c r="U303" s="72"/>
      <c r="V303" s="72"/>
      <c r="W303" s="48" t="s">
        <v>2</v>
      </c>
      <c r="X303" s="31">
        <v>9</v>
      </c>
      <c r="Y303" s="45"/>
      <c r="Z303" s="63"/>
      <c r="AA303" s="75"/>
      <c r="AB303" s="31"/>
      <c r="AC303" s="249"/>
      <c r="AD303" s="252"/>
      <c r="AE303" s="26"/>
      <c r="AF303" s="82"/>
    </row>
    <row r="304" spans="1:32" s="83" customFormat="1" ht="20.25" customHeight="1">
      <c r="A304" s="269"/>
      <c r="B304" s="266"/>
      <c r="C304" s="264"/>
      <c r="D304" s="264"/>
      <c r="E304" s="264"/>
      <c r="F304" s="264"/>
      <c r="G304" s="249"/>
      <c r="H304" s="263"/>
      <c r="I304" s="249"/>
      <c r="J304" s="249"/>
      <c r="K304" s="249"/>
      <c r="L304" s="258"/>
      <c r="M304" s="249"/>
      <c r="N304" s="249"/>
      <c r="O304" s="249"/>
      <c r="P304" s="249"/>
      <c r="Q304" s="249"/>
      <c r="R304" s="249"/>
      <c r="S304" s="249"/>
      <c r="T304" s="57" t="s">
        <v>399</v>
      </c>
      <c r="U304" s="72"/>
      <c r="V304" s="72"/>
      <c r="W304" s="48" t="s">
        <v>2</v>
      </c>
      <c r="X304" s="31">
        <v>6</v>
      </c>
      <c r="Y304" s="45">
        <v>1800000</v>
      </c>
      <c r="Z304" s="63"/>
      <c r="AA304" s="75">
        <v>1</v>
      </c>
      <c r="AB304" s="31">
        <f t="shared" ref="AB304:AB306" si="17">X304*Y304*AA304</f>
        <v>10800000</v>
      </c>
      <c r="AC304" s="249"/>
      <c r="AD304" s="252"/>
      <c r="AE304" s="26"/>
      <c r="AF304" s="82"/>
    </row>
    <row r="305" spans="1:32" s="83" customFormat="1" ht="20.25" customHeight="1">
      <c r="A305" s="269"/>
      <c r="B305" s="266"/>
      <c r="C305" s="264"/>
      <c r="D305" s="264"/>
      <c r="E305" s="264"/>
      <c r="F305" s="264"/>
      <c r="G305" s="249"/>
      <c r="H305" s="263"/>
      <c r="I305" s="249"/>
      <c r="J305" s="249"/>
      <c r="K305" s="249"/>
      <c r="L305" s="258"/>
      <c r="M305" s="249"/>
      <c r="N305" s="249"/>
      <c r="O305" s="249"/>
      <c r="P305" s="249"/>
      <c r="Q305" s="249"/>
      <c r="R305" s="249"/>
      <c r="S305" s="249"/>
      <c r="T305" s="57" t="s">
        <v>401</v>
      </c>
      <c r="U305" s="72"/>
      <c r="V305" s="72">
        <f>0.3*3</f>
        <v>0.89999999999999991</v>
      </c>
      <c r="W305" s="48" t="s">
        <v>2</v>
      </c>
      <c r="X305" s="31">
        <v>1</v>
      </c>
      <c r="Y305" s="45">
        <v>1800000</v>
      </c>
      <c r="Z305" s="63"/>
      <c r="AA305" s="75">
        <v>0.3</v>
      </c>
      <c r="AB305" s="31">
        <f t="shared" si="17"/>
        <v>540000</v>
      </c>
      <c r="AC305" s="249"/>
      <c r="AD305" s="252"/>
      <c r="AE305" s="26"/>
      <c r="AF305" s="82"/>
    </row>
    <row r="306" spans="1:32" s="83" customFormat="1" ht="20.25" customHeight="1">
      <c r="A306" s="269"/>
      <c r="B306" s="266"/>
      <c r="C306" s="264"/>
      <c r="D306" s="264"/>
      <c r="E306" s="264"/>
      <c r="F306" s="264"/>
      <c r="G306" s="249"/>
      <c r="H306" s="263"/>
      <c r="I306" s="249"/>
      <c r="J306" s="249"/>
      <c r="K306" s="249"/>
      <c r="L306" s="258"/>
      <c r="M306" s="249"/>
      <c r="N306" s="249"/>
      <c r="O306" s="249"/>
      <c r="P306" s="249"/>
      <c r="Q306" s="249"/>
      <c r="R306" s="249"/>
      <c r="S306" s="249"/>
      <c r="T306" s="57" t="s">
        <v>402</v>
      </c>
      <c r="U306" s="72"/>
      <c r="V306" s="72"/>
      <c r="W306" s="48" t="s">
        <v>2</v>
      </c>
      <c r="X306" s="31">
        <f>X303-X304-X305</f>
        <v>2</v>
      </c>
      <c r="Y306" s="45">
        <v>1800000</v>
      </c>
      <c r="Z306" s="63"/>
      <c r="AA306" s="75">
        <v>0</v>
      </c>
      <c r="AB306" s="31">
        <f t="shared" si="17"/>
        <v>0</v>
      </c>
      <c r="AC306" s="249"/>
      <c r="AD306" s="252"/>
      <c r="AE306" s="26"/>
      <c r="AF306" s="82"/>
    </row>
    <row r="307" spans="1:32" s="83" customFormat="1" ht="34.5" customHeight="1">
      <c r="A307" s="269"/>
      <c r="B307" s="266"/>
      <c r="C307" s="264"/>
      <c r="D307" s="264"/>
      <c r="E307" s="264"/>
      <c r="F307" s="264"/>
      <c r="G307" s="249"/>
      <c r="H307" s="263"/>
      <c r="I307" s="249"/>
      <c r="J307" s="249"/>
      <c r="K307" s="249"/>
      <c r="L307" s="258"/>
      <c r="M307" s="249"/>
      <c r="N307" s="249"/>
      <c r="O307" s="249"/>
      <c r="P307" s="249"/>
      <c r="Q307" s="249"/>
      <c r="R307" s="249"/>
      <c r="S307" s="249"/>
      <c r="T307" s="59" t="s">
        <v>488</v>
      </c>
      <c r="U307" s="72">
        <v>10</v>
      </c>
      <c r="V307" s="72">
        <f>(I300-360)/U307</f>
        <v>36</v>
      </c>
      <c r="W307" s="48" t="s">
        <v>2</v>
      </c>
      <c r="X307" s="31">
        <v>70</v>
      </c>
      <c r="Y307" s="45"/>
      <c r="Z307" s="77"/>
      <c r="AA307" s="65"/>
      <c r="AB307" s="31"/>
      <c r="AC307" s="249"/>
      <c r="AD307" s="252"/>
      <c r="AE307" s="26"/>
      <c r="AF307" s="82"/>
    </row>
    <row r="308" spans="1:32" s="83" customFormat="1" ht="21.75" customHeight="1">
      <c r="A308" s="269"/>
      <c r="B308" s="266"/>
      <c r="C308" s="264"/>
      <c r="D308" s="264"/>
      <c r="E308" s="264"/>
      <c r="F308" s="264"/>
      <c r="G308" s="249"/>
      <c r="H308" s="263"/>
      <c r="I308" s="249"/>
      <c r="J308" s="249"/>
      <c r="K308" s="249"/>
      <c r="L308" s="258"/>
      <c r="M308" s="249"/>
      <c r="N308" s="249"/>
      <c r="O308" s="249"/>
      <c r="P308" s="249"/>
      <c r="Q308" s="249"/>
      <c r="R308" s="249"/>
      <c r="S308" s="249"/>
      <c r="T308" s="57" t="s">
        <v>399</v>
      </c>
      <c r="U308" s="72"/>
      <c r="V308" s="72">
        <f>0.3*V307</f>
        <v>10.799999999999999</v>
      </c>
      <c r="W308" s="48" t="s">
        <v>2</v>
      </c>
      <c r="X308" s="31">
        <v>11</v>
      </c>
      <c r="Y308" s="45">
        <v>95000</v>
      </c>
      <c r="Z308" s="77"/>
      <c r="AA308" s="65">
        <v>0.3</v>
      </c>
      <c r="AB308" s="31">
        <f t="shared" ref="AB308:AB313" si="18">X308*Y308*AA308</f>
        <v>313500</v>
      </c>
      <c r="AC308" s="249"/>
      <c r="AD308" s="252"/>
      <c r="AE308" s="26"/>
      <c r="AF308" s="82"/>
    </row>
    <row r="309" spans="1:32" s="83" customFormat="1" ht="21.75" customHeight="1">
      <c r="A309" s="269"/>
      <c r="B309" s="266"/>
      <c r="C309" s="264"/>
      <c r="D309" s="264"/>
      <c r="E309" s="264"/>
      <c r="F309" s="264"/>
      <c r="G309" s="249"/>
      <c r="H309" s="263"/>
      <c r="I309" s="249"/>
      <c r="J309" s="249"/>
      <c r="K309" s="249"/>
      <c r="L309" s="258"/>
      <c r="M309" s="249"/>
      <c r="N309" s="249"/>
      <c r="O309" s="249"/>
      <c r="P309" s="249"/>
      <c r="Q309" s="249"/>
      <c r="R309" s="249"/>
      <c r="S309" s="249"/>
      <c r="T309" s="57" t="s">
        <v>417</v>
      </c>
      <c r="U309" s="72"/>
      <c r="V309" s="72"/>
      <c r="W309" s="48" t="s">
        <v>2</v>
      </c>
      <c r="X309" s="31">
        <f>X307-X308</f>
        <v>59</v>
      </c>
      <c r="Y309" s="45">
        <v>95000</v>
      </c>
      <c r="Z309" s="77"/>
      <c r="AA309" s="65">
        <v>0</v>
      </c>
      <c r="AB309" s="31">
        <f t="shared" si="18"/>
        <v>0</v>
      </c>
      <c r="AC309" s="249"/>
      <c r="AD309" s="252"/>
      <c r="AE309" s="26"/>
      <c r="AF309" s="82"/>
    </row>
    <row r="310" spans="1:32" s="83" customFormat="1" ht="46.5" customHeight="1">
      <c r="A310" s="269"/>
      <c r="B310" s="266"/>
      <c r="C310" s="264"/>
      <c r="D310" s="264"/>
      <c r="E310" s="264"/>
      <c r="F310" s="264"/>
      <c r="G310" s="249"/>
      <c r="H310" s="263"/>
      <c r="I310" s="249"/>
      <c r="J310" s="249"/>
      <c r="K310" s="249"/>
      <c r="L310" s="258"/>
      <c r="M310" s="249"/>
      <c r="N310" s="249"/>
      <c r="O310" s="249"/>
      <c r="P310" s="249"/>
      <c r="Q310" s="249"/>
      <c r="R310" s="249"/>
      <c r="S310" s="249"/>
      <c r="T310" s="57" t="s">
        <v>649</v>
      </c>
      <c r="U310" s="72"/>
      <c r="V310" s="72"/>
      <c r="W310" s="48" t="s">
        <v>0</v>
      </c>
      <c r="X310" s="31">
        <v>300</v>
      </c>
      <c r="Y310" s="45">
        <v>30000</v>
      </c>
      <c r="Z310" s="77"/>
      <c r="AA310" s="65">
        <v>1</v>
      </c>
      <c r="AB310" s="31">
        <f>X310*Y310*AA310</f>
        <v>9000000</v>
      </c>
      <c r="AC310" s="249"/>
      <c r="AD310" s="252"/>
      <c r="AE310" s="26"/>
      <c r="AF310" s="82"/>
    </row>
    <row r="311" spans="1:32" s="83" customFormat="1" ht="57.75" customHeight="1">
      <c r="A311" s="269"/>
      <c r="B311" s="266"/>
      <c r="C311" s="264"/>
      <c r="D311" s="264"/>
      <c r="E311" s="264"/>
      <c r="F311" s="264"/>
      <c r="G311" s="249"/>
      <c r="H311" s="263"/>
      <c r="I311" s="249"/>
      <c r="J311" s="249"/>
      <c r="K311" s="249"/>
      <c r="L311" s="258"/>
      <c r="M311" s="249"/>
      <c r="N311" s="249"/>
      <c r="O311" s="249"/>
      <c r="P311" s="249"/>
      <c r="Q311" s="249"/>
      <c r="R311" s="249"/>
      <c r="S311" s="249"/>
      <c r="T311" s="76" t="s">
        <v>415</v>
      </c>
      <c r="U311" s="72"/>
      <c r="V311" s="72"/>
      <c r="W311" s="48" t="s">
        <v>0</v>
      </c>
      <c r="X311" s="79">
        <v>34.5</v>
      </c>
      <c r="Y311" s="77"/>
      <c r="Z311" s="77"/>
      <c r="AA311" s="65">
        <v>0</v>
      </c>
      <c r="AB311" s="31">
        <f t="shared" si="18"/>
        <v>0</v>
      </c>
      <c r="AC311" s="249"/>
      <c r="AD311" s="252"/>
      <c r="AE311" s="26"/>
      <c r="AF311" s="82"/>
    </row>
    <row r="312" spans="1:32" s="83" customFormat="1" ht="21" customHeight="1">
      <c r="A312" s="269"/>
      <c r="B312" s="266"/>
      <c r="C312" s="264"/>
      <c r="D312" s="264"/>
      <c r="E312" s="264"/>
      <c r="F312" s="264"/>
      <c r="G312" s="249"/>
      <c r="H312" s="263"/>
      <c r="I312" s="249"/>
      <c r="J312" s="249"/>
      <c r="K312" s="249"/>
      <c r="L312" s="258"/>
      <c r="M312" s="249"/>
      <c r="N312" s="249"/>
      <c r="O312" s="249"/>
      <c r="P312" s="249"/>
      <c r="Q312" s="249"/>
      <c r="R312" s="249"/>
      <c r="S312" s="249"/>
      <c r="T312" s="76" t="s">
        <v>416</v>
      </c>
      <c r="U312" s="72"/>
      <c r="V312" s="72"/>
      <c r="W312" s="48" t="s">
        <v>395</v>
      </c>
      <c r="X312" s="31">
        <v>1</v>
      </c>
      <c r="Y312" s="45"/>
      <c r="Z312" s="77"/>
      <c r="AA312" s="65">
        <v>0</v>
      </c>
      <c r="AB312" s="31">
        <f t="shared" si="18"/>
        <v>0</v>
      </c>
      <c r="AC312" s="249"/>
      <c r="AD312" s="252"/>
      <c r="AE312" s="26"/>
      <c r="AF312" s="82"/>
    </row>
    <row r="313" spans="1:32" s="101" customFormat="1" ht="21" customHeight="1">
      <c r="A313" s="242">
        <v>28</v>
      </c>
      <c r="B313" s="265" t="s">
        <v>447</v>
      </c>
      <c r="C313" s="255">
        <v>64</v>
      </c>
      <c r="D313" s="255">
        <v>426</v>
      </c>
      <c r="E313" s="255">
        <v>282.3</v>
      </c>
      <c r="F313" s="255" t="s">
        <v>26</v>
      </c>
      <c r="G313" s="248">
        <v>288</v>
      </c>
      <c r="H313" s="261">
        <f>E313-G313</f>
        <v>-5.6999999999999886</v>
      </c>
      <c r="I313" s="248">
        <v>288</v>
      </c>
      <c r="J313" s="248">
        <v>1368</v>
      </c>
      <c r="K313" s="255"/>
      <c r="L313" s="256">
        <f>I313/J313*100</f>
        <v>21.052631578947366</v>
      </c>
      <c r="M313" s="248">
        <v>5</v>
      </c>
      <c r="N313" s="248">
        <v>1</v>
      </c>
      <c r="O313" s="248">
        <v>80000</v>
      </c>
      <c r="P313" s="248">
        <f>O313*I313</f>
        <v>23040000</v>
      </c>
      <c r="Q313" s="248">
        <f>P313*3</f>
        <v>69120000</v>
      </c>
      <c r="R313" s="248">
        <f>M313*N313*R6</f>
        <v>2550000</v>
      </c>
      <c r="S313" s="248">
        <f>SUM(P313:R317)</f>
        <v>94710000</v>
      </c>
      <c r="T313" s="95" t="s">
        <v>406</v>
      </c>
      <c r="U313" s="102"/>
      <c r="V313" s="102"/>
      <c r="W313" s="96" t="s">
        <v>0</v>
      </c>
      <c r="X313" s="114">
        <v>280</v>
      </c>
      <c r="Y313" s="98">
        <v>180000</v>
      </c>
      <c r="Z313" s="108"/>
      <c r="AA313" s="99">
        <v>1</v>
      </c>
      <c r="AB313" s="97">
        <f t="shared" si="18"/>
        <v>50400000</v>
      </c>
      <c r="AC313" s="248">
        <f>SUM(AB313:AB317)</f>
        <v>50400000</v>
      </c>
      <c r="AD313" s="241">
        <f>S313+AC313</f>
        <v>145110000</v>
      </c>
      <c r="AE313" s="100"/>
    </row>
    <row r="314" spans="1:32" s="101" customFormat="1" ht="21" customHeight="1">
      <c r="A314" s="242"/>
      <c r="B314" s="265"/>
      <c r="C314" s="255"/>
      <c r="D314" s="255"/>
      <c r="E314" s="255"/>
      <c r="F314" s="255"/>
      <c r="G314" s="248"/>
      <c r="H314" s="261"/>
      <c r="I314" s="248"/>
      <c r="J314" s="248"/>
      <c r="K314" s="255"/>
      <c r="L314" s="256"/>
      <c r="M314" s="248"/>
      <c r="N314" s="248"/>
      <c r="O314" s="248"/>
      <c r="P314" s="248"/>
      <c r="Q314" s="248"/>
      <c r="R314" s="248"/>
      <c r="S314" s="248"/>
      <c r="T314" s="115" t="s">
        <v>422</v>
      </c>
      <c r="U314" s="102"/>
      <c r="V314" s="102"/>
      <c r="W314" s="112" t="s">
        <v>7</v>
      </c>
      <c r="X314" s="110">
        <v>0.4</v>
      </c>
      <c r="Y314" s="98"/>
      <c r="Z314" s="105"/>
      <c r="AA314" s="106">
        <v>0</v>
      </c>
      <c r="AB314" s="97">
        <f t="shared" ref="AB314:AB316" si="19">X314*Y314*AA314</f>
        <v>0</v>
      </c>
      <c r="AC314" s="248"/>
      <c r="AD314" s="241"/>
      <c r="AE314" s="100"/>
    </row>
    <row r="315" spans="1:32" s="101" customFormat="1" ht="46.5" customHeight="1">
      <c r="A315" s="242"/>
      <c r="B315" s="265"/>
      <c r="C315" s="255"/>
      <c r="D315" s="255"/>
      <c r="E315" s="255"/>
      <c r="F315" s="255"/>
      <c r="G315" s="248"/>
      <c r="H315" s="261"/>
      <c r="I315" s="248"/>
      <c r="J315" s="248"/>
      <c r="K315" s="255"/>
      <c r="L315" s="256"/>
      <c r="M315" s="248"/>
      <c r="N315" s="248"/>
      <c r="O315" s="248"/>
      <c r="P315" s="248"/>
      <c r="Q315" s="248"/>
      <c r="R315" s="248"/>
      <c r="S315" s="248"/>
      <c r="T315" s="107" t="s">
        <v>448</v>
      </c>
      <c r="U315" s="102"/>
      <c r="V315" s="102"/>
      <c r="W315" s="96" t="s">
        <v>0</v>
      </c>
      <c r="X315" s="97">
        <v>12</v>
      </c>
      <c r="Y315" s="98"/>
      <c r="Z315" s="105"/>
      <c r="AA315" s="106">
        <v>0</v>
      </c>
      <c r="AB315" s="97">
        <f t="shared" si="19"/>
        <v>0</v>
      </c>
      <c r="AC315" s="248"/>
      <c r="AD315" s="241"/>
      <c r="AE315" s="100"/>
    </row>
    <row r="316" spans="1:32" s="101" customFormat="1" ht="69.75" customHeight="1">
      <c r="A316" s="242"/>
      <c r="B316" s="265"/>
      <c r="C316" s="255"/>
      <c r="D316" s="255"/>
      <c r="E316" s="255"/>
      <c r="F316" s="255"/>
      <c r="G316" s="248"/>
      <c r="H316" s="261"/>
      <c r="I316" s="248"/>
      <c r="J316" s="248"/>
      <c r="K316" s="255"/>
      <c r="L316" s="256"/>
      <c r="M316" s="248"/>
      <c r="N316" s="248"/>
      <c r="O316" s="248"/>
      <c r="P316" s="248"/>
      <c r="Q316" s="248"/>
      <c r="R316" s="248"/>
      <c r="S316" s="248"/>
      <c r="T316" s="107" t="s">
        <v>449</v>
      </c>
      <c r="U316" s="102"/>
      <c r="V316" s="102"/>
      <c r="W316" s="96" t="s">
        <v>0</v>
      </c>
      <c r="X316" s="97">
        <v>7</v>
      </c>
      <c r="Y316" s="98"/>
      <c r="Z316" s="105"/>
      <c r="AA316" s="106">
        <v>0</v>
      </c>
      <c r="AB316" s="97">
        <f t="shared" si="19"/>
        <v>0</v>
      </c>
      <c r="AC316" s="248"/>
      <c r="AD316" s="241"/>
      <c r="AE316" s="100"/>
    </row>
    <row r="317" spans="1:32" s="101" customFormat="1" ht="21" customHeight="1">
      <c r="A317" s="242"/>
      <c r="B317" s="265"/>
      <c r="C317" s="255"/>
      <c r="D317" s="255"/>
      <c r="E317" s="255"/>
      <c r="F317" s="255"/>
      <c r="G317" s="248"/>
      <c r="H317" s="261"/>
      <c r="I317" s="248"/>
      <c r="J317" s="248"/>
      <c r="K317" s="255"/>
      <c r="L317" s="256"/>
      <c r="M317" s="248"/>
      <c r="N317" s="248"/>
      <c r="O317" s="248"/>
      <c r="P317" s="248"/>
      <c r="Q317" s="248"/>
      <c r="R317" s="248"/>
      <c r="S317" s="248"/>
      <c r="T317" s="107" t="s">
        <v>403</v>
      </c>
      <c r="U317" s="102"/>
      <c r="V317" s="102"/>
      <c r="W317" s="96" t="s">
        <v>395</v>
      </c>
      <c r="X317" s="97">
        <v>1</v>
      </c>
      <c r="Y317" s="98"/>
      <c r="Z317" s="105"/>
      <c r="AA317" s="106">
        <v>0</v>
      </c>
      <c r="AB317" s="97">
        <f t="shared" ref="AB317" si="20">X317*Y317*AA317</f>
        <v>0</v>
      </c>
      <c r="AC317" s="248"/>
      <c r="AD317" s="241"/>
      <c r="AE317" s="100"/>
    </row>
    <row r="318" spans="1:32" s="74" customFormat="1" ht="22.5" customHeight="1">
      <c r="A318" s="269">
        <v>29</v>
      </c>
      <c r="B318" s="266" t="s">
        <v>646</v>
      </c>
      <c r="C318" s="264">
        <v>64</v>
      </c>
      <c r="D318" s="264">
        <v>425</v>
      </c>
      <c r="E318" s="264">
        <v>565.4</v>
      </c>
      <c r="F318" s="264" t="s">
        <v>26</v>
      </c>
      <c r="G318" s="249">
        <v>576</v>
      </c>
      <c r="H318" s="263">
        <f>E318-G318</f>
        <v>-10.600000000000023</v>
      </c>
      <c r="I318" s="249">
        <v>576</v>
      </c>
      <c r="J318" s="249">
        <v>1080</v>
      </c>
      <c r="K318" s="264"/>
      <c r="L318" s="258">
        <f t="shared" ref="L318" si="21">I318/J318*100</f>
        <v>53.333333333333336</v>
      </c>
      <c r="M318" s="249">
        <v>6</v>
      </c>
      <c r="N318" s="249">
        <v>2</v>
      </c>
      <c r="O318" s="249">
        <v>80000</v>
      </c>
      <c r="P318" s="249">
        <f>O318*I318</f>
        <v>46080000</v>
      </c>
      <c r="Q318" s="249">
        <f>P318*3</f>
        <v>138240000</v>
      </c>
      <c r="R318" s="249">
        <f>M318*N318*R6</f>
        <v>6120000</v>
      </c>
      <c r="S318" s="249">
        <f>SUM(P318:R321)</f>
        <v>190440000</v>
      </c>
      <c r="T318" s="59" t="s">
        <v>406</v>
      </c>
      <c r="U318" s="72"/>
      <c r="V318" s="72"/>
      <c r="W318" s="48" t="s">
        <v>0</v>
      </c>
      <c r="X318" s="64">
        <v>550</v>
      </c>
      <c r="Y318" s="45">
        <v>180000</v>
      </c>
      <c r="Z318" s="77"/>
      <c r="AA318" s="65">
        <v>1</v>
      </c>
      <c r="AB318" s="31">
        <f t="shared" ref="AB318" si="22">X318*Y318*AA318</f>
        <v>99000000</v>
      </c>
      <c r="AC318" s="249">
        <f>SUM(AB318:AB321)</f>
        <v>99000000</v>
      </c>
      <c r="AD318" s="252">
        <f>S318+AC318</f>
        <v>289440000</v>
      </c>
      <c r="AE318" s="26" t="s">
        <v>407</v>
      </c>
    </row>
    <row r="319" spans="1:32" s="74" customFormat="1" ht="24" customHeight="1">
      <c r="A319" s="269"/>
      <c r="B319" s="266"/>
      <c r="C319" s="264"/>
      <c r="D319" s="264"/>
      <c r="E319" s="264"/>
      <c r="F319" s="264"/>
      <c r="G319" s="249"/>
      <c r="H319" s="263"/>
      <c r="I319" s="249"/>
      <c r="J319" s="249"/>
      <c r="K319" s="264"/>
      <c r="L319" s="258"/>
      <c r="M319" s="249"/>
      <c r="N319" s="249"/>
      <c r="O319" s="249"/>
      <c r="P319" s="249"/>
      <c r="Q319" s="249"/>
      <c r="R319" s="249"/>
      <c r="S319" s="249"/>
      <c r="T319" s="84" t="s">
        <v>422</v>
      </c>
      <c r="U319" s="72"/>
      <c r="V319" s="72"/>
      <c r="W319" s="35" t="s">
        <v>7</v>
      </c>
      <c r="X319" s="79">
        <v>1</v>
      </c>
      <c r="Y319" s="45"/>
      <c r="Z319" s="77"/>
      <c r="AA319" s="65"/>
      <c r="AB319" s="31"/>
      <c r="AC319" s="249"/>
      <c r="AD319" s="252"/>
      <c r="AE319" s="26"/>
    </row>
    <row r="320" spans="1:32" s="74" customFormat="1" ht="42" customHeight="1">
      <c r="A320" s="269"/>
      <c r="B320" s="266"/>
      <c r="C320" s="264"/>
      <c r="D320" s="264"/>
      <c r="E320" s="264"/>
      <c r="F320" s="264"/>
      <c r="G320" s="249"/>
      <c r="H320" s="263"/>
      <c r="I320" s="249"/>
      <c r="J320" s="249"/>
      <c r="K320" s="264"/>
      <c r="L320" s="258"/>
      <c r="M320" s="249"/>
      <c r="N320" s="249"/>
      <c r="O320" s="249"/>
      <c r="P320" s="249"/>
      <c r="Q320" s="249"/>
      <c r="R320" s="249"/>
      <c r="S320" s="249"/>
      <c r="T320" s="76" t="s">
        <v>412</v>
      </c>
      <c r="U320" s="72"/>
      <c r="V320" s="72"/>
      <c r="W320" s="48" t="s">
        <v>441</v>
      </c>
      <c r="X320" s="31">
        <v>9</v>
      </c>
      <c r="Y320" s="45"/>
      <c r="Z320" s="63"/>
      <c r="AA320" s="75">
        <v>0</v>
      </c>
      <c r="AB320" s="31">
        <f t="shared" ref="AB320:AB322" si="23">X320*Y320*AA320</f>
        <v>0</v>
      </c>
      <c r="AC320" s="249"/>
      <c r="AD320" s="252"/>
      <c r="AE320" s="26"/>
    </row>
    <row r="321" spans="1:32" s="74" customFormat="1" ht="21.75" customHeight="1">
      <c r="A321" s="269"/>
      <c r="B321" s="266"/>
      <c r="C321" s="264"/>
      <c r="D321" s="264"/>
      <c r="E321" s="264"/>
      <c r="F321" s="264"/>
      <c r="G321" s="249"/>
      <c r="H321" s="263"/>
      <c r="I321" s="249"/>
      <c r="J321" s="249"/>
      <c r="K321" s="264"/>
      <c r="L321" s="258"/>
      <c r="M321" s="249"/>
      <c r="N321" s="249"/>
      <c r="O321" s="249"/>
      <c r="P321" s="249"/>
      <c r="Q321" s="249"/>
      <c r="R321" s="249"/>
      <c r="S321" s="249"/>
      <c r="T321" s="76" t="s">
        <v>413</v>
      </c>
      <c r="U321" s="72"/>
      <c r="V321" s="72"/>
      <c r="W321" s="48" t="s">
        <v>395</v>
      </c>
      <c r="X321" s="31">
        <v>1</v>
      </c>
      <c r="Y321" s="45"/>
      <c r="Z321" s="63"/>
      <c r="AA321" s="75">
        <v>0</v>
      </c>
      <c r="AB321" s="31">
        <f t="shared" si="23"/>
        <v>0</v>
      </c>
      <c r="AC321" s="249"/>
      <c r="AD321" s="252"/>
      <c r="AE321" s="26"/>
    </row>
    <row r="322" spans="1:32" s="101" customFormat="1" ht="21.75" customHeight="1">
      <c r="A322" s="242">
        <v>30</v>
      </c>
      <c r="B322" s="265" t="s">
        <v>450</v>
      </c>
      <c r="C322" s="255">
        <v>64</v>
      </c>
      <c r="D322" s="255">
        <v>469</v>
      </c>
      <c r="E322" s="255">
        <v>540.20000000000005</v>
      </c>
      <c r="F322" s="255" t="s">
        <v>26</v>
      </c>
      <c r="G322" s="255">
        <v>540</v>
      </c>
      <c r="H322" s="255">
        <f>E322-G322</f>
        <v>0.20000000000004547</v>
      </c>
      <c r="I322" s="255">
        <v>540</v>
      </c>
      <c r="J322" s="255">
        <v>1332</v>
      </c>
      <c r="K322" s="255"/>
      <c r="L322" s="255">
        <v>40.5</v>
      </c>
      <c r="M322" s="255">
        <v>6</v>
      </c>
      <c r="N322" s="255">
        <v>4</v>
      </c>
      <c r="O322" s="248">
        <v>80000</v>
      </c>
      <c r="P322" s="248">
        <f>O322*I322</f>
        <v>43200000</v>
      </c>
      <c r="Q322" s="248">
        <f>P322*3</f>
        <v>129600000</v>
      </c>
      <c r="R322" s="248">
        <f>M322*N322*R6</f>
        <v>12240000</v>
      </c>
      <c r="S322" s="248">
        <f>SUM(P322:R328)</f>
        <v>185040000</v>
      </c>
      <c r="T322" s="95" t="s">
        <v>406</v>
      </c>
      <c r="U322" s="102"/>
      <c r="V322" s="102"/>
      <c r="W322" s="96" t="s">
        <v>0</v>
      </c>
      <c r="X322" s="114">
        <v>180</v>
      </c>
      <c r="Y322" s="98">
        <v>180000</v>
      </c>
      <c r="Z322" s="108"/>
      <c r="AA322" s="99">
        <v>1</v>
      </c>
      <c r="AB322" s="97">
        <f t="shared" si="23"/>
        <v>32400000</v>
      </c>
      <c r="AC322" s="248">
        <f>SUM(AB322:AB328)</f>
        <v>52675000</v>
      </c>
      <c r="AD322" s="253">
        <f>S322+AC322</f>
        <v>237715000</v>
      </c>
      <c r="AE322" s="100"/>
      <c r="AF322" s="244"/>
    </row>
    <row r="323" spans="1:32" s="101" customFormat="1" ht="38.25" customHeight="1">
      <c r="A323" s="242"/>
      <c r="B323" s="265"/>
      <c r="C323" s="255"/>
      <c r="D323" s="255"/>
      <c r="E323" s="255"/>
      <c r="F323" s="255"/>
      <c r="G323" s="255"/>
      <c r="H323" s="255"/>
      <c r="I323" s="255"/>
      <c r="J323" s="255"/>
      <c r="K323" s="255"/>
      <c r="L323" s="255"/>
      <c r="M323" s="255"/>
      <c r="N323" s="255"/>
      <c r="O323" s="248"/>
      <c r="P323" s="248"/>
      <c r="Q323" s="248"/>
      <c r="R323" s="248"/>
      <c r="S323" s="248"/>
      <c r="T323" s="94" t="s">
        <v>408</v>
      </c>
      <c r="U323" s="102">
        <v>4</v>
      </c>
      <c r="V323" s="102">
        <f>(I322-X322)/U323</f>
        <v>90</v>
      </c>
      <c r="W323" s="96" t="s">
        <v>392</v>
      </c>
      <c r="X323" s="97">
        <v>100</v>
      </c>
      <c r="Y323" s="98"/>
      <c r="Z323" s="108"/>
      <c r="AA323" s="99"/>
      <c r="AB323" s="97"/>
      <c r="AC323" s="248"/>
      <c r="AD323" s="253"/>
      <c r="AE323" s="100" t="s">
        <v>431</v>
      </c>
      <c r="AF323" s="245"/>
    </row>
    <row r="324" spans="1:32" s="101" customFormat="1" ht="21.75" customHeight="1">
      <c r="A324" s="242"/>
      <c r="B324" s="265"/>
      <c r="C324" s="255"/>
      <c r="D324" s="255"/>
      <c r="E324" s="255"/>
      <c r="F324" s="255"/>
      <c r="G324" s="255"/>
      <c r="H324" s="255"/>
      <c r="I324" s="255"/>
      <c r="J324" s="255"/>
      <c r="K324" s="255"/>
      <c r="L324" s="255"/>
      <c r="M324" s="255"/>
      <c r="N324" s="255"/>
      <c r="O324" s="248"/>
      <c r="P324" s="248"/>
      <c r="Q324" s="248"/>
      <c r="R324" s="248"/>
      <c r="S324" s="248"/>
      <c r="T324" s="104" t="s">
        <v>399</v>
      </c>
      <c r="U324" s="102"/>
      <c r="V324" s="102"/>
      <c r="W324" s="96" t="s">
        <v>2</v>
      </c>
      <c r="X324" s="97">
        <v>90</v>
      </c>
      <c r="Y324" s="98">
        <v>200000</v>
      </c>
      <c r="Z324" s="108"/>
      <c r="AA324" s="99">
        <v>1</v>
      </c>
      <c r="AB324" s="97">
        <f>X324*Y324*AA324</f>
        <v>18000000</v>
      </c>
      <c r="AC324" s="248"/>
      <c r="AD324" s="253"/>
      <c r="AE324" s="100"/>
      <c r="AF324" s="245"/>
    </row>
    <row r="325" spans="1:32" s="101" customFormat="1" ht="21.75" customHeight="1">
      <c r="A325" s="242"/>
      <c r="B325" s="265"/>
      <c r="C325" s="255"/>
      <c r="D325" s="255"/>
      <c r="E325" s="255"/>
      <c r="F325" s="255"/>
      <c r="G325" s="255"/>
      <c r="H325" s="255"/>
      <c r="I325" s="255"/>
      <c r="J325" s="255"/>
      <c r="K325" s="255"/>
      <c r="L325" s="255"/>
      <c r="M325" s="255"/>
      <c r="N325" s="255"/>
      <c r="O325" s="248"/>
      <c r="P325" s="248"/>
      <c r="Q325" s="248"/>
      <c r="R325" s="248"/>
      <c r="S325" s="248"/>
      <c r="T325" s="104" t="s">
        <v>401</v>
      </c>
      <c r="U325" s="102"/>
      <c r="V325" s="102">
        <f>0.3*V323</f>
        <v>27</v>
      </c>
      <c r="W325" s="96" t="s">
        <v>2</v>
      </c>
      <c r="X325" s="97">
        <v>10</v>
      </c>
      <c r="Y325" s="98">
        <v>200000</v>
      </c>
      <c r="Z325" s="108"/>
      <c r="AA325" s="99">
        <v>0.5</v>
      </c>
      <c r="AB325" s="97">
        <f>X325*Y325*AA325</f>
        <v>1000000</v>
      </c>
      <c r="AC325" s="248"/>
      <c r="AD325" s="253"/>
      <c r="AE325" s="100"/>
      <c r="AF325" s="245"/>
    </row>
    <row r="326" spans="1:32" s="101" customFormat="1" ht="40.5" customHeight="1">
      <c r="A326" s="242"/>
      <c r="B326" s="265"/>
      <c r="C326" s="255"/>
      <c r="D326" s="255"/>
      <c r="E326" s="255"/>
      <c r="F326" s="255"/>
      <c r="G326" s="255"/>
      <c r="H326" s="255"/>
      <c r="I326" s="255"/>
      <c r="J326" s="255"/>
      <c r="K326" s="255"/>
      <c r="L326" s="255"/>
      <c r="M326" s="255"/>
      <c r="N326" s="255"/>
      <c r="O326" s="248"/>
      <c r="P326" s="248"/>
      <c r="Q326" s="248"/>
      <c r="R326" s="248"/>
      <c r="S326" s="248"/>
      <c r="T326" s="94" t="s">
        <v>489</v>
      </c>
      <c r="U326" s="102"/>
      <c r="V326" s="102"/>
      <c r="W326" s="96" t="s">
        <v>392</v>
      </c>
      <c r="X326" s="97">
        <v>80</v>
      </c>
      <c r="Y326" s="98"/>
      <c r="Z326" s="108"/>
      <c r="AA326" s="99"/>
      <c r="AB326" s="97"/>
      <c r="AC326" s="248"/>
      <c r="AD326" s="253"/>
      <c r="AE326" s="100"/>
      <c r="AF326" s="245"/>
    </row>
    <row r="327" spans="1:32" s="101" customFormat="1" ht="21.75" customHeight="1">
      <c r="A327" s="242"/>
      <c r="B327" s="265"/>
      <c r="C327" s="255"/>
      <c r="D327" s="255"/>
      <c r="E327" s="255"/>
      <c r="F327" s="255"/>
      <c r="G327" s="255"/>
      <c r="H327" s="255"/>
      <c r="I327" s="255"/>
      <c r="J327" s="255"/>
      <c r="K327" s="255"/>
      <c r="L327" s="255"/>
      <c r="M327" s="255"/>
      <c r="N327" s="255"/>
      <c r="O327" s="248"/>
      <c r="P327" s="248"/>
      <c r="Q327" s="248"/>
      <c r="R327" s="248"/>
      <c r="S327" s="248"/>
      <c r="T327" s="104" t="s">
        <v>401</v>
      </c>
      <c r="U327" s="102"/>
      <c r="V327" s="102"/>
      <c r="W327" s="96" t="s">
        <v>2</v>
      </c>
      <c r="X327" s="97">
        <v>17</v>
      </c>
      <c r="Y327" s="98">
        <v>150000</v>
      </c>
      <c r="Z327" s="108"/>
      <c r="AA327" s="99">
        <v>0.5</v>
      </c>
      <c r="AB327" s="97">
        <f>X327*Y327*AA327</f>
        <v>1275000</v>
      </c>
      <c r="AC327" s="248"/>
      <c r="AD327" s="253"/>
      <c r="AE327" s="100"/>
      <c r="AF327" s="245"/>
    </row>
    <row r="328" spans="1:32" s="101" customFormat="1" ht="21.75" customHeight="1">
      <c r="A328" s="242"/>
      <c r="B328" s="265"/>
      <c r="C328" s="255"/>
      <c r="D328" s="255"/>
      <c r="E328" s="255"/>
      <c r="F328" s="255"/>
      <c r="G328" s="255"/>
      <c r="H328" s="255"/>
      <c r="I328" s="255"/>
      <c r="J328" s="255"/>
      <c r="K328" s="255"/>
      <c r="L328" s="255"/>
      <c r="M328" s="255"/>
      <c r="N328" s="255"/>
      <c r="O328" s="248"/>
      <c r="P328" s="248"/>
      <c r="Q328" s="248"/>
      <c r="R328" s="248"/>
      <c r="S328" s="248"/>
      <c r="T328" s="104" t="s">
        <v>402</v>
      </c>
      <c r="U328" s="102"/>
      <c r="V328" s="102"/>
      <c r="W328" s="96" t="s">
        <v>2</v>
      </c>
      <c r="X328" s="97">
        <f>X326-X327</f>
        <v>63</v>
      </c>
      <c r="Y328" s="98">
        <v>150000</v>
      </c>
      <c r="Z328" s="108"/>
      <c r="AA328" s="99">
        <v>0</v>
      </c>
      <c r="AB328" s="97">
        <v>0</v>
      </c>
      <c r="AC328" s="248"/>
      <c r="AD328" s="253"/>
      <c r="AE328" s="100"/>
      <c r="AF328" s="245"/>
    </row>
    <row r="329" spans="1:32" s="101" customFormat="1" ht="44.25" customHeight="1">
      <c r="A329" s="242">
        <v>31</v>
      </c>
      <c r="B329" s="265" t="s">
        <v>451</v>
      </c>
      <c r="C329" s="255">
        <v>64</v>
      </c>
      <c r="D329" s="255">
        <v>470</v>
      </c>
      <c r="E329" s="255">
        <v>611.6</v>
      </c>
      <c r="F329" s="255" t="s">
        <v>26</v>
      </c>
      <c r="G329" s="248">
        <v>612</v>
      </c>
      <c r="H329" s="261">
        <f>E329-G329</f>
        <v>-0.39999999999997726</v>
      </c>
      <c r="I329" s="248">
        <v>612</v>
      </c>
      <c r="J329" s="248">
        <v>720</v>
      </c>
      <c r="K329" s="255"/>
      <c r="L329" s="255">
        <f>I329/J329*100</f>
        <v>85</v>
      </c>
      <c r="M329" s="248">
        <v>12</v>
      </c>
      <c r="N329" s="248">
        <v>1</v>
      </c>
      <c r="O329" s="248">
        <v>80000</v>
      </c>
      <c r="P329" s="248">
        <f>O329*I329</f>
        <v>48960000</v>
      </c>
      <c r="Q329" s="248">
        <f>P329*3</f>
        <v>146880000</v>
      </c>
      <c r="R329" s="248">
        <f>M329*N329*R6</f>
        <v>6120000</v>
      </c>
      <c r="S329" s="248">
        <f>SUM(P329:R339)</f>
        <v>201960000</v>
      </c>
      <c r="T329" s="95" t="s">
        <v>410</v>
      </c>
      <c r="U329" s="102">
        <v>25</v>
      </c>
      <c r="V329" s="102">
        <f>(I329-2.25)/U329</f>
        <v>24.39</v>
      </c>
      <c r="W329" s="96" t="s">
        <v>2</v>
      </c>
      <c r="X329" s="97">
        <v>14</v>
      </c>
      <c r="Y329" s="98"/>
      <c r="Z329" s="103"/>
      <c r="AA329" s="99"/>
      <c r="AB329" s="97">
        <f t="shared" ref="AB329:AB330" si="24">X329*Y329*AA329</f>
        <v>0</v>
      </c>
      <c r="AC329" s="248">
        <f>SUM(AB329:AB339)</f>
        <v>87050000</v>
      </c>
      <c r="AD329" s="253">
        <f>S329+AC329</f>
        <v>289010000</v>
      </c>
      <c r="AE329" s="100" t="s">
        <v>404</v>
      </c>
      <c r="AF329" s="246"/>
    </row>
    <row r="330" spans="1:32" s="101" customFormat="1" ht="19.5" customHeight="1">
      <c r="A330" s="242"/>
      <c r="B330" s="265"/>
      <c r="C330" s="255"/>
      <c r="D330" s="255"/>
      <c r="E330" s="255"/>
      <c r="F330" s="255"/>
      <c r="G330" s="248"/>
      <c r="H330" s="261"/>
      <c r="I330" s="248"/>
      <c r="J330" s="248"/>
      <c r="K330" s="255"/>
      <c r="L330" s="255"/>
      <c r="M330" s="248"/>
      <c r="N330" s="248"/>
      <c r="O330" s="248"/>
      <c r="P330" s="248"/>
      <c r="Q330" s="248"/>
      <c r="R330" s="248"/>
      <c r="S330" s="248"/>
      <c r="T330" s="104" t="s">
        <v>399</v>
      </c>
      <c r="U330" s="102"/>
      <c r="V330" s="102"/>
      <c r="W330" s="96" t="s">
        <v>2</v>
      </c>
      <c r="X330" s="97">
        <v>14</v>
      </c>
      <c r="Y330" s="98">
        <v>4500000</v>
      </c>
      <c r="Z330" s="103"/>
      <c r="AA330" s="99">
        <v>1</v>
      </c>
      <c r="AB330" s="97">
        <f t="shared" si="24"/>
        <v>63000000</v>
      </c>
      <c r="AC330" s="248"/>
      <c r="AD330" s="253"/>
      <c r="AE330" s="100"/>
      <c r="AF330" s="247"/>
    </row>
    <row r="331" spans="1:32" s="101" customFormat="1" ht="45.75" customHeight="1">
      <c r="A331" s="242"/>
      <c r="B331" s="265"/>
      <c r="C331" s="255"/>
      <c r="D331" s="255"/>
      <c r="E331" s="255"/>
      <c r="F331" s="255"/>
      <c r="G331" s="248"/>
      <c r="H331" s="261"/>
      <c r="I331" s="248"/>
      <c r="J331" s="248"/>
      <c r="K331" s="255"/>
      <c r="L331" s="255"/>
      <c r="M331" s="248"/>
      <c r="N331" s="248"/>
      <c r="O331" s="248"/>
      <c r="P331" s="248"/>
      <c r="Q331" s="248"/>
      <c r="R331" s="248"/>
      <c r="S331" s="248"/>
      <c r="T331" s="95" t="s">
        <v>409</v>
      </c>
      <c r="U331" s="102"/>
      <c r="V331" s="102"/>
      <c r="W331" s="96" t="s">
        <v>2</v>
      </c>
      <c r="X331" s="114">
        <v>5</v>
      </c>
      <c r="Y331" s="98"/>
      <c r="Z331" s="108"/>
      <c r="AA331" s="99"/>
      <c r="AB331" s="97"/>
      <c r="AC331" s="248"/>
      <c r="AD331" s="253"/>
      <c r="AE331" s="100"/>
      <c r="AF331" s="247"/>
    </row>
    <row r="332" spans="1:32" s="101" customFormat="1" ht="28.5" customHeight="1">
      <c r="A332" s="242"/>
      <c r="B332" s="265"/>
      <c r="C332" s="255"/>
      <c r="D332" s="255"/>
      <c r="E332" s="255"/>
      <c r="F332" s="255"/>
      <c r="G332" s="248"/>
      <c r="H332" s="261"/>
      <c r="I332" s="248"/>
      <c r="J332" s="248"/>
      <c r="K332" s="255"/>
      <c r="L332" s="255"/>
      <c r="M332" s="248"/>
      <c r="N332" s="248"/>
      <c r="O332" s="248"/>
      <c r="P332" s="248"/>
      <c r="Q332" s="248"/>
      <c r="R332" s="248"/>
      <c r="S332" s="248"/>
      <c r="T332" s="104" t="s">
        <v>399</v>
      </c>
      <c r="U332" s="102"/>
      <c r="V332" s="102"/>
      <c r="W332" s="96" t="s">
        <v>2</v>
      </c>
      <c r="X332" s="114">
        <v>5</v>
      </c>
      <c r="Y332" s="98">
        <v>3850000</v>
      </c>
      <c r="Z332" s="108"/>
      <c r="AA332" s="99">
        <v>1</v>
      </c>
      <c r="AB332" s="97">
        <f t="shared" ref="AB332" si="25">X332*Y332*AA332</f>
        <v>19250000</v>
      </c>
      <c r="AC332" s="248"/>
      <c r="AD332" s="253"/>
      <c r="AE332" s="100"/>
      <c r="AF332" s="247"/>
    </row>
    <row r="333" spans="1:32" s="101" customFormat="1" ht="48" customHeight="1">
      <c r="A333" s="242"/>
      <c r="B333" s="265"/>
      <c r="C333" s="255"/>
      <c r="D333" s="255"/>
      <c r="E333" s="255"/>
      <c r="F333" s="255"/>
      <c r="G333" s="248"/>
      <c r="H333" s="261"/>
      <c r="I333" s="248"/>
      <c r="J333" s="248"/>
      <c r="K333" s="255"/>
      <c r="L333" s="255"/>
      <c r="M333" s="248"/>
      <c r="N333" s="248"/>
      <c r="O333" s="248"/>
      <c r="P333" s="248"/>
      <c r="Q333" s="248"/>
      <c r="R333" s="248"/>
      <c r="S333" s="248"/>
      <c r="T333" s="95" t="s">
        <v>490</v>
      </c>
      <c r="U333" s="102">
        <f>10000/2200</f>
        <v>4.5454545454545459</v>
      </c>
      <c r="V333" s="102">
        <f>(I329-2.25)/U333</f>
        <v>134.14499999999998</v>
      </c>
      <c r="W333" s="96" t="s">
        <v>2</v>
      </c>
      <c r="X333" s="114">
        <v>60</v>
      </c>
      <c r="Y333" s="98"/>
      <c r="Z333" s="108"/>
      <c r="AA333" s="99"/>
      <c r="AB333" s="97"/>
      <c r="AC333" s="248"/>
      <c r="AD333" s="253"/>
      <c r="AE333" s="100"/>
      <c r="AF333" s="247"/>
    </row>
    <row r="334" spans="1:32" s="101" customFormat="1" ht="24.75" customHeight="1">
      <c r="A334" s="242"/>
      <c r="B334" s="265"/>
      <c r="C334" s="255"/>
      <c r="D334" s="255"/>
      <c r="E334" s="255"/>
      <c r="F334" s="255"/>
      <c r="G334" s="248"/>
      <c r="H334" s="261"/>
      <c r="I334" s="248"/>
      <c r="J334" s="248"/>
      <c r="K334" s="255"/>
      <c r="L334" s="255"/>
      <c r="M334" s="248"/>
      <c r="N334" s="248"/>
      <c r="O334" s="248"/>
      <c r="P334" s="248"/>
      <c r="Q334" s="248"/>
      <c r="R334" s="248"/>
      <c r="S334" s="248"/>
      <c r="T334" s="104" t="s">
        <v>399</v>
      </c>
      <c r="U334" s="102"/>
      <c r="V334" s="102"/>
      <c r="W334" s="96" t="s">
        <v>2</v>
      </c>
      <c r="X334" s="114">
        <v>60</v>
      </c>
      <c r="Y334" s="98">
        <v>160000</v>
      </c>
      <c r="Z334" s="108"/>
      <c r="AA334" s="99">
        <v>0.5</v>
      </c>
      <c r="AB334" s="97">
        <f t="shared" ref="AB334" si="26">X334*Y334*AA334</f>
        <v>4800000</v>
      </c>
      <c r="AC334" s="248"/>
      <c r="AD334" s="253"/>
      <c r="AE334" s="100"/>
      <c r="AF334" s="247"/>
    </row>
    <row r="335" spans="1:32" s="101" customFormat="1" ht="50.25" customHeight="1">
      <c r="A335" s="242"/>
      <c r="B335" s="265"/>
      <c r="C335" s="255"/>
      <c r="D335" s="255"/>
      <c r="E335" s="255"/>
      <c r="F335" s="255"/>
      <c r="G335" s="248"/>
      <c r="H335" s="261"/>
      <c r="I335" s="248"/>
      <c r="J335" s="248"/>
      <c r="K335" s="255"/>
      <c r="L335" s="255"/>
      <c r="M335" s="248"/>
      <c r="N335" s="248"/>
      <c r="O335" s="248"/>
      <c r="P335" s="248"/>
      <c r="Q335" s="248"/>
      <c r="R335" s="248"/>
      <c r="S335" s="248"/>
      <c r="T335" s="107" t="s">
        <v>452</v>
      </c>
      <c r="U335" s="102"/>
      <c r="V335" s="102"/>
      <c r="W335" s="96" t="s">
        <v>441</v>
      </c>
      <c r="X335" s="110">
        <v>3.4</v>
      </c>
      <c r="Y335" s="98"/>
      <c r="Z335" s="103"/>
      <c r="AA335" s="99"/>
      <c r="AB335" s="97"/>
      <c r="AC335" s="248"/>
      <c r="AD335" s="253"/>
      <c r="AE335" s="100"/>
      <c r="AF335" s="247"/>
    </row>
    <row r="336" spans="1:32" s="101" customFormat="1" ht="53.25" customHeight="1">
      <c r="A336" s="242"/>
      <c r="B336" s="265"/>
      <c r="C336" s="255"/>
      <c r="D336" s="255"/>
      <c r="E336" s="255"/>
      <c r="F336" s="255"/>
      <c r="G336" s="248"/>
      <c r="H336" s="261"/>
      <c r="I336" s="248"/>
      <c r="J336" s="248"/>
      <c r="K336" s="255"/>
      <c r="L336" s="255"/>
      <c r="M336" s="248"/>
      <c r="N336" s="248"/>
      <c r="O336" s="248"/>
      <c r="P336" s="248"/>
      <c r="Q336" s="248"/>
      <c r="R336" s="248"/>
      <c r="S336" s="248"/>
      <c r="T336" s="107" t="s">
        <v>414</v>
      </c>
      <c r="U336" s="102"/>
      <c r="V336" s="102"/>
      <c r="W336" s="96" t="s">
        <v>0</v>
      </c>
      <c r="X336" s="97">
        <v>146</v>
      </c>
      <c r="Y336" s="98"/>
      <c r="Z336" s="103"/>
      <c r="AA336" s="99"/>
      <c r="AB336" s="97"/>
      <c r="AC336" s="248"/>
      <c r="AD336" s="253"/>
      <c r="AE336" s="100"/>
      <c r="AF336" s="247"/>
    </row>
    <row r="337" spans="1:32" s="101" customFormat="1" ht="44.25" customHeight="1">
      <c r="A337" s="242"/>
      <c r="B337" s="265"/>
      <c r="C337" s="255"/>
      <c r="D337" s="255"/>
      <c r="E337" s="255"/>
      <c r="F337" s="255"/>
      <c r="G337" s="248"/>
      <c r="H337" s="261"/>
      <c r="I337" s="248"/>
      <c r="J337" s="248"/>
      <c r="K337" s="255"/>
      <c r="L337" s="255"/>
      <c r="M337" s="248"/>
      <c r="N337" s="248"/>
      <c r="O337" s="248"/>
      <c r="P337" s="248"/>
      <c r="Q337" s="248"/>
      <c r="R337" s="248"/>
      <c r="S337" s="248"/>
      <c r="T337" s="107" t="s">
        <v>426</v>
      </c>
      <c r="U337" s="102"/>
      <c r="V337" s="102"/>
      <c r="W337" s="96" t="s">
        <v>0</v>
      </c>
      <c r="X337" s="97">
        <v>6</v>
      </c>
      <c r="Y337" s="98"/>
      <c r="Z337" s="103"/>
      <c r="AA337" s="99"/>
      <c r="AB337" s="97"/>
      <c r="AC337" s="248"/>
      <c r="AD337" s="253"/>
      <c r="AE337" s="100"/>
      <c r="AF337" s="247"/>
    </row>
    <row r="338" spans="1:32" s="101" customFormat="1" ht="32.25" customHeight="1">
      <c r="A338" s="242"/>
      <c r="B338" s="265"/>
      <c r="C338" s="255"/>
      <c r="D338" s="255"/>
      <c r="E338" s="255"/>
      <c r="F338" s="255"/>
      <c r="G338" s="248"/>
      <c r="H338" s="261"/>
      <c r="I338" s="248"/>
      <c r="J338" s="248"/>
      <c r="K338" s="255"/>
      <c r="L338" s="255"/>
      <c r="M338" s="248"/>
      <c r="N338" s="248"/>
      <c r="O338" s="248"/>
      <c r="P338" s="248"/>
      <c r="Q338" s="248"/>
      <c r="R338" s="248"/>
      <c r="S338" s="248"/>
      <c r="T338" s="107" t="s">
        <v>453</v>
      </c>
      <c r="U338" s="102"/>
      <c r="V338" s="102"/>
      <c r="W338" s="96" t="s">
        <v>441</v>
      </c>
      <c r="X338" s="110">
        <v>0.3</v>
      </c>
      <c r="Y338" s="98"/>
      <c r="Z338" s="103"/>
      <c r="AA338" s="99"/>
      <c r="AB338" s="97"/>
      <c r="AC338" s="248"/>
      <c r="AD338" s="253"/>
      <c r="AE338" s="100"/>
      <c r="AF338" s="247"/>
    </row>
    <row r="339" spans="1:32" s="101" customFormat="1" ht="26.25" customHeight="1">
      <c r="A339" s="242"/>
      <c r="B339" s="265"/>
      <c r="C339" s="255"/>
      <c r="D339" s="255"/>
      <c r="E339" s="255"/>
      <c r="F339" s="255"/>
      <c r="G339" s="248"/>
      <c r="H339" s="261"/>
      <c r="I339" s="248"/>
      <c r="J339" s="248"/>
      <c r="K339" s="255"/>
      <c r="L339" s="255"/>
      <c r="M339" s="248"/>
      <c r="N339" s="248"/>
      <c r="O339" s="248"/>
      <c r="P339" s="248"/>
      <c r="Q339" s="248"/>
      <c r="R339" s="248"/>
      <c r="S339" s="248"/>
      <c r="T339" s="107" t="s">
        <v>405</v>
      </c>
      <c r="U339" s="102"/>
      <c r="V339" s="102"/>
      <c r="W339" s="96" t="s">
        <v>395</v>
      </c>
      <c r="X339" s="97">
        <v>1</v>
      </c>
      <c r="Y339" s="98"/>
      <c r="Z339" s="103"/>
      <c r="AA339" s="99"/>
      <c r="AB339" s="97"/>
      <c r="AC339" s="248"/>
      <c r="AD339" s="253"/>
      <c r="AE339" s="100"/>
      <c r="AF339" s="247"/>
    </row>
    <row r="340" spans="1:32" s="74" customFormat="1" ht="48.75" customHeight="1">
      <c r="A340" s="269">
        <v>32</v>
      </c>
      <c r="B340" s="266" t="s">
        <v>454</v>
      </c>
      <c r="C340" s="264">
        <v>64</v>
      </c>
      <c r="D340" s="264">
        <v>468</v>
      </c>
      <c r="E340" s="264">
        <v>193.9</v>
      </c>
      <c r="F340" s="264" t="s">
        <v>26</v>
      </c>
      <c r="G340" s="249">
        <v>194</v>
      </c>
      <c r="H340" s="263">
        <f>E340-G340</f>
        <v>-9.9999999999994316E-2</v>
      </c>
      <c r="I340" s="250">
        <v>194</v>
      </c>
      <c r="J340" s="250">
        <v>936</v>
      </c>
      <c r="K340" s="61"/>
      <c r="L340" s="259">
        <f>I340/J340*100</f>
        <v>20.726495726495727</v>
      </c>
      <c r="M340" s="250">
        <v>5</v>
      </c>
      <c r="N340" s="250">
        <v>1</v>
      </c>
      <c r="O340" s="250">
        <v>80000</v>
      </c>
      <c r="P340" s="250">
        <f>O340*I340</f>
        <v>15520000</v>
      </c>
      <c r="Q340" s="250">
        <f>P340*3</f>
        <v>46560000</v>
      </c>
      <c r="R340" s="250">
        <f>M340*N340*R6</f>
        <v>2550000</v>
      </c>
      <c r="S340" s="250">
        <f>SUM(P340:R346)</f>
        <v>64630000</v>
      </c>
      <c r="T340" s="43" t="s">
        <v>455</v>
      </c>
      <c r="U340" s="72">
        <v>25</v>
      </c>
      <c r="V340" s="72">
        <f>I340/U340</f>
        <v>7.76</v>
      </c>
      <c r="W340" s="48" t="s">
        <v>2</v>
      </c>
      <c r="X340" s="31">
        <v>6</v>
      </c>
      <c r="Y340" s="45"/>
      <c r="Z340" s="73"/>
      <c r="AA340" s="65"/>
      <c r="AB340" s="31">
        <f t="shared" ref="AB340:AB341" si="27">X340*Y340*AA340</f>
        <v>0</v>
      </c>
      <c r="AC340" s="249">
        <f>SUM(AB340:AB346)</f>
        <v>26750000</v>
      </c>
      <c r="AD340" s="252">
        <f>S340+AC340</f>
        <v>91380000</v>
      </c>
      <c r="AE340" s="26" t="s">
        <v>404</v>
      </c>
    </row>
    <row r="341" spans="1:32" s="74" customFormat="1" ht="23.25" customHeight="1">
      <c r="A341" s="269"/>
      <c r="B341" s="266"/>
      <c r="C341" s="264"/>
      <c r="D341" s="264"/>
      <c r="E341" s="264"/>
      <c r="F341" s="264"/>
      <c r="G341" s="249"/>
      <c r="H341" s="263"/>
      <c r="I341" s="250"/>
      <c r="J341" s="250"/>
      <c r="K341" s="61"/>
      <c r="L341" s="259"/>
      <c r="M341" s="250"/>
      <c r="N341" s="250"/>
      <c r="O341" s="250"/>
      <c r="P341" s="250"/>
      <c r="Q341" s="250"/>
      <c r="R341" s="250"/>
      <c r="S341" s="250"/>
      <c r="T341" s="57" t="s">
        <v>399</v>
      </c>
      <c r="U341" s="72"/>
      <c r="V341" s="72"/>
      <c r="W341" s="48" t="s">
        <v>2</v>
      </c>
      <c r="X341" s="31">
        <v>6</v>
      </c>
      <c r="Y341" s="45">
        <v>3750000</v>
      </c>
      <c r="Z341" s="73"/>
      <c r="AA341" s="65">
        <v>1</v>
      </c>
      <c r="AB341" s="31">
        <f t="shared" si="27"/>
        <v>22500000</v>
      </c>
      <c r="AC341" s="249"/>
      <c r="AD341" s="252"/>
      <c r="AE341" s="26"/>
    </row>
    <row r="342" spans="1:32" s="74" customFormat="1" ht="40.5" customHeight="1">
      <c r="A342" s="269"/>
      <c r="B342" s="266"/>
      <c r="C342" s="264"/>
      <c r="D342" s="264"/>
      <c r="E342" s="264"/>
      <c r="F342" s="264"/>
      <c r="G342" s="249"/>
      <c r="H342" s="263"/>
      <c r="I342" s="250"/>
      <c r="J342" s="250"/>
      <c r="K342" s="61"/>
      <c r="L342" s="259"/>
      <c r="M342" s="250"/>
      <c r="N342" s="250"/>
      <c r="O342" s="250"/>
      <c r="P342" s="250"/>
      <c r="Q342" s="250"/>
      <c r="R342" s="250"/>
      <c r="S342" s="250"/>
      <c r="T342" s="43" t="s">
        <v>429</v>
      </c>
      <c r="U342" s="72">
        <v>4</v>
      </c>
      <c r="V342" s="72">
        <f>I340/U342</f>
        <v>48.5</v>
      </c>
      <c r="W342" s="48" t="s">
        <v>392</v>
      </c>
      <c r="X342" s="31">
        <v>35</v>
      </c>
      <c r="Y342" s="45"/>
      <c r="Z342" s="77"/>
      <c r="AA342" s="65"/>
      <c r="AB342" s="31"/>
      <c r="AC342" s="249"/>
      <c r="AD342" s="252"/>
      <c r="AE342" s="26"/>
    </row>
    <row r="343" spans="1:32" s="74" customFormat="1" ht="23.25" customHeight="1">
      <c r="A343" s="269"/>
      <c r="B343" s="266"/>
      <c r="C343" s="264"/>
      <c r="D343" s="264"/>
      <c r="E343" s="264"/>
      <c r="F343" s="264"/>
      <c r="G343" s="249"/>
      <c r="H343" s="263"/>
      <c r="I343" s="250"/>
      <c r="J343" s="250"/>
      <c r="K343" s="61"/>
      <c r="L343" s="259"/>
      <c r="M343" s="250"/>
      <c r="N343" s="250"/>
      <c r="O343" s="250"/>
      <c r="P343" s="250"/>
      <c r="Q343" s="250"/>
      <c r="R343" s="250"/>
      <c r="S343" s="250"/>
      <c r="T343" s="57" t="s">
        <v>399</v>
      </c>
      <c r="U343" s="72"/>
      <c r="V343" s="72"/>
      <c r="W343" s="48" t="s">
        <v>2</v>
      </c>
      <c r="X343" s="31">
        <v>35</v>
      </c>
      <c r="Y343" s="45">
        <v>200000</v>
      </c>
      <c r="Z343" s="77"/>
      <c r="AA343" s="65">
        <v>0.5</v>
      </c>
      <c r="AB343" s="31">
        <f>X343*Y343*AA343</f>
        <v>3500000</v>
      </c>
      <c r="AC343" s="249"/>
      <c r="AD343" s="252"/>
      <c r="AE343" s="26"/>
    </row>
    <row r="344" spans="1:32" s="74" customFormat="1" ht="36.75" customHeight="1">
      <c r="A344" s="269"/>
      <c r="B344" s="266"/>
      <c r="C344" s="264"/>
      <c r="D344" s="264"/>
      <c r="E344" s="264"/>
      <c r="F344" s="264"/>
      <c r="G344" s="249"/>
      <c r="H344" s="263"/>
      <c r="I344" s="250"/>
      <c r="J344" s="250"/>
      <c r="K344" s="61"/>
      <c r="L344" s="259"/>
      <c r="M344" s="250"/>
      <c r="N344" s="250"/>
      <c r="O344" s="250"/>
      <c r="P344" s="250"/>
      <c r="Q344" s="250"/>
      <c r="R344" s="250"/>
      <c r="S344" s="250"/>
      <c r="T344" s="43" t="s">
        <v>430</v>
      </c>
      <c r="U344" s="72"/>
      <c r="V344" s="72"/>
      <c r="W344" s="48" t="s">
        <v>392</v>
      </c>
      <c r="X344" s="31">
        <v>10</v>
      </c>
      <c r="Y344" s="45"/>
      <c r="Z344" s="77"/>
      <c r="AA344" s="65"/>
      <c r="AB344" s="31"/>
      <c r="AC344" s="249"/>
      <c r="AD344" s="252"/>
      <c r="AE344" s="26"/>
    </row>
    <row r="345" spans="1:32" s="74" customFormat="1" ht="23.25" customHeight="1">
      <c r="A345" s="269"/>
      <c r="B345" s="266"/>
      <c r="C345" s="264"/>
      <c r="D345" s="264"/>
      <c r="E345" s="264"/>
      <c r="F345" s="264"/>
      <c r="G345" s="249"/>
      <c r="H345" s="263"/>
      <c r="I345" s="250"/>
      <c r="J345" s="250"/>
      <c r="K345" s="61"/>
      <c r="L345" s="259"/>
      <c r="M345" s="250"/>
      <c r="N345" s="250"/>
      <c r="O345" s="250"/>
      <c r="P345" s="250"/>
      <c r="Q345" s="250"/>
      <c r="R345" s="250"/>
      <c r="S345" s="250"/>
      <c r="T345" s="57" t="s">
        <v>399</v>
      </c>
      <c r="U345" s="72"/>
      <c r="V345" s="72"/>
      <c r="W345" s="48" t="s">
        <v>2</v>
      </c>
      <c r="X345" s="31">
        <v>10</v>
      </c>
      <c r="Y345" s="45">
        <v>150000</v>
      </c>
      <c r="Z345" s="77"/>
      <c r="AA345" s="65">
        <v>0.5</v>
      </c>
      <c r="AB345" s="31">
        <f>X345*Y345*AA345</f>
        <v>750000</v>
      </c>
      <c r="AC345" s="249"/>
      <c r="AD345" s="252"/>
      <c r="AE345" s="26"/>
    </row>
    <row r="346" spans="1:32" s="74" customFormat="1" ht="54.75" customHeight="1">
      <c r="A346" s="269"/>
      <c r="B346" s="266"/>
      <c r="C346" s="264"/>
      <c r="D346" s="264"/>
      <c r="E346" s="264"/>
      <c r="F346" s="264"/>
      <c r="G346" s="249"/>
      <c r="H346" s="263"/>
      <c r="I346" s="250"/>
      <c r="J346" s="250"/>
      <c r="K346" s="61"/>
      <c r="L346" s="259"/>
      <c r="M346" s="250"/>
      <c r="N346" s="250"/>
      <c r="O346" s="250"/>
      <c r="P346" s="250"/>
      <c r="Q346" s="250"/>
      <c r="R346" s="250"/>
      <c r="S346" s="250"/>
      <c r="T346" s="76" t="s">
        <v>425</v>
      </c>
      <c r="U346" s="72"/>
      <c r="V346" s="72"/>
      <c r="W346" s="48" t="s">
        <v>0</v>
      </c>
      <c r="X346" s="31">
        <v>42</v>
      </c>
      <c r="Y346" s="45"/>
      <c r="Z346" s="63"/>
      <c r="AA346" s="75"/>
      <c r="AB346" s="31"/>
      <c r="AC346" s="249"/>
      <c r="AD346" s="252"/>
      <c r="AE346" s="26"/>
    </row>
    <row r="347" spans="1:32" s="101" customFormat="1" ht="25.5" customHeight="1">
      <c r="A347" s="242">
        <v>33</v>
      </c>
      <c r="B347" s="265" t="s">
        <v>456</v>
      </c>
      <c r="C347" s="255">
        <v>64</v>
      </c>
      <c r="D347" s="255">
        <v>457</v>
      </c>
      <c r="E347" s="255">
        <v>931.3</v>
      </c>
      <c r="F347" s="255" t="s">
        <v>26</v>
      </c>
      <c r="G347" s="248">
        <v>900</v>
      </c>
      <c r="H347" s="261">
        <f>E347-G347</f>
        <v>31.299999999999955</v>
      </c>
      <c r="I347" s="251">
        <v>900</v>
      </c>
      <c r="J347" s="251">
        <v>2520</v>
      </c>
      <c r="K347" s="116"/>
      <c r="L347" s="260">
        <f>I347/J347*100</f>
        <v>35.714285714285715</v>
      </c>
      <c r="M347" s="251">
        <v>6</v>
      </c>
      <c r="N347" s="251">
        <v>4</v>
      </c>
      <c r="O347" s="251">
        <v>80000</v>
      </c>
      <c r="P347" s="251">
        <f>O347*I347</f>
        <v>72000000</v>
      </c>
      <c r="Q347" s="251">
        <f>P347*3</f>
        <v>216000000</v>
      </c>
      <c r="R347" s="251">
        <f>M347*N347*R6</f>
        <v>12240000</v>
      </c>
      <c r="S347" s="251">
        <f>SUM(P347:R358)</f>
        <v>300240000</v>
      </c>
      <c r="T347" s="95" t="s">
        <v>406</v>
      </c>
      <c r="U347" s="102"/>
      <c r="V347" s="102"/>
      <c r="W347" s="96" t="s">
        <v>0</v>
      </c>
      <c r="X347" s="114">
        <v>360</v>
      </c>
      <c r="Y347" s="98">
        <v>180000</v>
      </c>
      <c r="Z347" s="108"/>
      <c r="AA347" s="99">
        <v>1</v>
      </c>
      <c r="AB347" s="97">
        <f t="shared" ref="AB347" si="28">X347*Y347*AA347</f>
        <v>64800000</v>
      </c>
      <c r="AC347" s="248">
        <f>SUM(AB347:AB358)</f>
        <v>117675000</v>
      </c>
      <c r="AD347" s="241">
        <f>S347+AC347</f>
        <v>417915000</v>
      </c>
      <c r="AE347" s="100" t="s">
        <v>404</v>
      </c>
    </row>
    <row r="348" spans="1:32" s="101" customFormat="1" ht="37.5" customHeight="1">
      <c r="A348" s="242"/>
      <c r="B348" s="265"/>
      <c r="C348" s="255"/>
      <c r="D348" s="255"/>
      <c r="E348" s="255"/>
      <c r="F348" s="255"/>
      <c r="G348" s="248"/>
      <c r="H348" s="261"/>
      <c r="I348" s="251"/>
      <c r="J348" s="251"/>
      <c r="K348" s="116"/>
      <c r="L348" s="260"/>
      <c r="M348" s="251"/>
      <c r="N348" s="251"/>
      <c r="O348" s="251"/>
      <c r="P348" s="251"/>
      <c r="Q348" s="251"/>
      <c r="R348" s="251"/>
      <c r="S348" s="251"/>
      <c r="T348" s="94" t="s">
        <v>400</v>
      </c>
      <c r="U348" s="102">
        <v>20</v>
      </c>
      <c r="V348" s="102">
        <f>(I347-X347)/U348</f>
        <v>27</v>
      </c>
      <c r="W348" s="96" t="s">
        <v>2</v>
      </c>
      <c r="X348" s="97">
        <v>20</v>
      </c>
      <c r="Y348" s="98"/>
      <c r="Z348" s="105"/>
      <c r="AA348" s="106"/>
      <c r="AB348" s="97"/>
      <c r="AC348" s="248"/>
      <c r="AD348" s="241"/>
      <c r="AE348" s="100"/>
    </row>
    <row r="349" spans="1:32" s="101" customFormat="1" ht="21.75" customHeight="1">
      <c r="A349" s="242"/>
      <c r="B349" s="265"/>
      <c r="C349" s="255"/>
      <c r="D349" s="255"/>
      <c r="E349" s="255"/>
      <c r="F349" s="255"/>
      <c r="G349" s="248"/>
      <c r="H349" s="261"/>
      <c r="I349" s="251"/>
      <c r="J349" s="251"/>
      <c r="K349" s="116"/>
      <c r="L349" s="260"/>
      <c r="M349" s="251"/>
      <c r="N349" s="251"/>
      <c r="O349" s="251"/>
      <c r="P349" s="251"/>
      <c r="Q349" s="251"/>
      <c r="R349" s="251"/>
      <c r="S349" s="251"/>
      <c r="T349" s="104" t="s">
        <v>399</v>
      </c>
      <c r="U349" s="102"/>
      <c r="V349" s="102"/>
      <c r="W349" s="96" t="s">
        <v>2</v>
      </c>
      <c r="X349" s="97">
        <v>20</v>
      </c>
      <c r="Y349" s="98">
        <v>1800000</v>
      </c>
      <c r="Z349" s="105"/>
      <c r="AA349" s="106">
        <v>1</v>
      </c>
      <c r="AB349" s="97">
        <f>X349*Y349*AA349</f>
        <v>36000000</v>
      </c>
      <c r="AC349" s="248"/>
      <c r="AD349" s="241"/>
      <c r="AE349" s="100"/>
    </row>
    <row r="350" spans="1:32" s="101" customFormat="1" ht="33" customHeight="1">
      <c r="A350" s="242"/>
      <c r="B350" s="265"/>
      <c r="C350" s="255"/>
      <c r="D350" s="255"/>
      <c r="E350" s="255"/>
      <c r="F350" s="255"/>
      <c r="G350" s="248"/>
      <c r="H350" s="261"/>
      <c r="I350" s="251"/>
      <c r="J350" s="251"/>
      <c r="K350" s="116"/>
      <c r="L350" s="260"/>
      <c r="M350" s="251"/>
      <c r="N350" s="251"/>
      <c r="O350" s="251"/>
      <c r="P350" s="251"/>
      <c r="Q350" s="251"/>
      <c r="R350" s="251"/>
      <c r="S350" s="251"/>
      <c r="T350" s="94" t="s">
        <v>457</v>
      </c>
      <c r="U350" s="102">
        <v>25</v>
      </c>
      <c r="V350" s="102">
        <f>(I347-X347)/U350</f>
        <v>21.6</v>
      </c>
      <c r="W350" s="96" t="s">
        <v>2</v>
      </c>
      <c r="X350" s="97">
        <v>3</v>
      </c>
      <c r="Y350" s="98"/>
      <c r="Z350" s="105"/>
      <c r="AA350" s="106"/>
      <c r="AB350" s="97"/>
      <c r="AC350" s="248"/>
      <c r="AD350" s="241"/>
      <c r="AE350" s="100"/>
    </row>
    <row r="351" spans="1:32" s="101" customFormat="1" ht="21.75" customHeight="1">
      <c r="A351" s="242"/>
      <c r="B351" s="265"/>
      <c r="C351" s="255"/>
      <c r="D351" s="255"/>
      <c r="E351" s="255"/>
      <c r="F351" s="255"/>
      <c r="G351" s="248"/>
      <c r="H351" s="261"/>
      <c r="I351" s="251"/>
      <c r="J351" s="251"/>
      <c r="K351" s="116"/>
      <c r="L351" s="260"/>
      <c r="M351" s="251"/>
      <c r="N351" s="251"/>
      <c r="O351" s="251"/>
      <c r="P351" s="251"/>
      <c r="Q351" s="251"/>
      <c r="R351" s="251"/>
      <c r="S351" s="251"/>
      <c r="T351" s="104" t="s">
        <v>399</v>
      </c>
      <c r="U351" s="102"/>
      <c r="V351" s="102"/>
      <c r="W351" s="96" t="s">
        <v>2</v>
      </c>
      <c r="X351" s="97">
        <v>3</v>
      </c>
      <c r="Y351" s="98">
        <v>3750000</v>
      </c>
      <c r="Z351" s="105"/>
      <c r="AA351" s="106">
        <v>0.5</v>
      </c>
      <c r="AB351" s="97">
        <f>X351*Y351*AA351</f>
        <v>5625000</v>
      </c>
      <c r="AC351" s="248"/>
      <c r="AD351" s="241"/>
      <c r="AE351" s="100"/>
    </row>
    <row r="352" spans="1:32" s="101" customFormat="1" ht="35.25" customHeight="1">
      <c r="A352" s="242"/>
      <c r="B352" s="265"/>
      <c r="C352" s="255"/>
      <c r="D352" s="255"/>
      <c r="E352" s="255"/>
      <c r="F352" s="255"/>
      <c r="G352" s="248"/>
      <c r="H352" s="261"/>
      <c r="I352" s="251"/>
      <c r="J352" s="251"/>
      <c r="K352" s="116"/>
      <c r="L352" s="260"/>
      <c r="M352" s="251"/>
      <c r="N352" s="251"/>
      <c r="O352" s="251"/>
      <c r="P352" s="251"/>
      <c r="Q352" s="251"/>
      <c r="R352" s="251"/>
      <c r="S352" s="251"/>
      <c r="T352" s="104" t="s">
        <v>685</v>
      </c>
      <c r="U352" s="102">
        <v>25</v>
      </c>
      <c r="V352" s="102">
        <f>(I347-X347)/U352</f>
        <v>21.6</v>
      </c>
      <c r="W352" s="96" t="s">
        <v>2</v>
      </c>
      <c r="X352" s="97">
        <v>5</v>
      </c>
      <c r="Y352" s="98"/>
      <c r="Z352" s="105"/>
      <c r="AA352" s="106"/>
      <c r="AB352" s="97"/>
      <c r="AC352" s="248"/>
      <c r="AD352" s="241"/>
      <c r="AE352" s="100"/>
    </row>
    <row r="353" spans="1:31" s="101" customFormat="1" ht="21.75" customHeight="1">
      <c r="A353" s="242"/>
      <c r="B353" s="265"/>
      <c r="C353" s="255"/>
      <c r="D353" s="255"/>
      <c r="E353" s="255"/>
      <c r="F353" s="255"/>
      <c r="G353" s="248"/>
      <c r="H353" s="261"/>
      <c r="I353" s="251"/>
      <c r="J353" s="251"/>
      <c r="K353" s="116"/>
      <c r="L353" s="260"/>
      <c r="M353" s="251"/>
      <c r="N353" s="251"/>
      <c r="O353" s="251"/>
      <c r="P353" s="251"/>
      <c r="Q353" s="251"/>
      <c r="R353" s="251"/>
      <c r="S353" s="251"/>
      <c r="T353" s="104" t="s">
        <v>399</v>
      </c>
      <c r="U353" s="102"/>
      <c r="V353" s="102"/>
      <c r="W353" s="96" t="s">
        <v>2</v>
      </c>
      <c r="X353" s="97">
        <v>5</v>
      </c>
      <c r="Y353" s="156">
        <v>1500000</v>
      </c>
      <c r="Z353" s="105"/>
      <c r="AA353" s="106">
        <v>0.5</v>
      </c>
      <c r="AB353" s="97">
        <f>X353*Y353*AA353</f>
        <v>3750000</v>
      </c>
      <c r="AC353" s="248"/>
      <c r="AD353" s="241"/>
      <c r="AE353" s="100" t="s">
        <v>686</v>
      </c>
    </row>
    <row r="354" spans="1:31" s="101" customFormat="1" ht="32.25" customHeight="1">
      <c r="A354" s="242"/>
      <c r="B354" s="265"/>
      <c r="C354" s="255"/>
      <c r="D354" s="255"/>
      <c r="E354" s="255"/>
      <c r="F354" s="255"/>
      <c r="G354" s="248"/>
      <c r="H354" s="261"/>
      <c r="I354" s="251"/>
      <c r="J354" s="251"/>
      <c r="K354" s="116"/>
      <c r="L354" s="260"/>
      <c r="M354" s="251"/>
      <c r="N354" s="251"/>
      <c r="O354" s="251"/>
      <c r="P354" s="251"/>
      <c r="Q354" s="251"/>
      <c r="R354" s="251"/>
      <c r="S354" s="251"/>
      <c r="T354" s="94" t="s">
        <v>458</v>
      </c>
      <c r="U354" s="102">
        <v>4</v>
      </c>
      <c r="V354" s="102">
        <f>(I347-X347)/U354</f>
        <v>135</v>
      </c>
      <c r="W354" s="96" t="s">
        <v>392</v>
      </c>
      <c r="X354" s="97">
        <v>60</v>
      </c>
      <c r="Y354" s="98"/>
      <c r="Z354" s="108"/>
      <c r="AA354" s="99"/>
      <c r="AB354" s="97"/>
      <c r="AC354" s="248"/>
      <c r="AD354" s="241"/>
      <c r="AE354" s="100"/>
    </row>
    <row r="355" spans="1:31" s="101" customFormat="1" ht="21.75" customHeight="1">
      <c r="A355" s="242"/>
      <c r="B355" s="265"/>
      <c r="C355" s="255"/>
      <c r="D355" s="255"/>
      <c r="E355" s="255"/>
      <c r="F355" s="255"/>
      <c r="G355" s="248"/>
      <c r="H355" s="261"/>
      <c r="I355" s="251"/>
      <c r="J355" s="251"/>
      <c r="K355" s="116"/>
      <c r="L355" s="260"/>
      <c r="M355" s="251"/>
      <c r="N355" s="251"/>
      <c r="O355" s="251"/>
      <c r="P355" s="251"/>
      <c r="Q355" s="251"/>
      <c r="R355" s="251"/>
      <c r="S355" s="251"/>
      <c r="T355" s="104" t="s">
        <v>399</v>
      </c>
      <c r="U355" s="102"/>
      <c r="V355" s="102"/>
      <c r="W355" s="96" t="s">
        <v>2</v>
      </c>
      <c r="X355" s="97">
        <v>60</v>
      </c>
      <c r="Y355" s="98">
        <v>200000</v>
      </c>
      <c r="Z355" s="108"/>
      <c r="AA355" s="99">
        <v>0.5</v>
      </c>
      <c r="AB355" s="97">
        <f>X355*Y355*AA355</f>
        <v>6000000</v>
      </c>
      <c r="AC355" s="248"/>
      <c r="AD355" s="241"/>
      <c r="AE355" s="100"/>
    </row>
    <row r="356" spans="1:31" s="101" customFormat="1" ht="33.75" customHeight="1">
      <c r="A356" s="242"/>
      <c r="B356" s="265"/>
      <c r="C356" s="255"/>
      <c r="D356" s="255"/>
      <c r="E356" s="255"/>
      <c r="F356" s="255"/>
      <c r="G356" s="248"/>
      <c r="H356" s="261"/>
      <c r="I356" s="251"/>
      <c r="J356" s="251"/>
      <c r="K356" s="116"/>
      <c r="L356" s="260"/>
      <c r="M356" s="251"/>
      <c r="N356" s="251"/>
      <c r="O356" s="251"/>
      <c r="P356" s="251"/>
      <c r="Q356" s="251"/>
      <c r="R356" s="251"/>
      <c r="S356" s="251"/>
      <c r="T356" s="94" t="s">
        <v>459</v>
      </c>
      <c r="U356" s="102"/>
      <c r="V356" s="102"/>
      <c r="W356" s="96" t="s">
        <v>392</v>
      </c>
      <c r="X356" s="97">
        <v>20</v>
      </c>
      <c r="Y356" s="98"/>
      <c r="Z356" s="108"/>
      <c r="AA356" s="99"/>
      <c r="AB356" s="97"/>
      <c r="AC356" s="248"/>
      <c r="AD356" s="241"/>
      <c r="AE356" s="100"/>
    </row>
    <row r="357" spans="1:31" s="101" customFormat="1" ht="21.75" customHeight="1">
      <c r="A357" s="242"/>
      <c r="B357" s="265"/>
      <c r="C357" s="255"/>
      <c r="D357" s="255"/>
      <c r="E357" s="255"/>
      <c r="F357" s="255"/>
      <c r="G357" s="248"/>
      <c r="H357" s="261"/>
      <c r="I357" s="251"/>
      <c r="J357" s="251"/>
      <c r="K357" s="116"/>
      <c r="L357" s="260"/>
      <c r="M357" s="251"/>
      <c r="N357" s="251"/>
      <c r="O357" s="251"/>
      <c r="P357" s="251"/>
      <c r="Q357" s="251"/>
      <c r="R357" s="251"/>
      <c r="S357" s="251"/>
      <c r="T357" s="104" t="s">
        <v>399</v>
      </c>
      <c r="U357" s="102"/>
      <c r="V357" s="102"/>
      <c r="W357" s="96" t="s">
        <v>2</v>
      </c>
      <c r="X357" s="97">
        <v>20</v>
      </c>
      <c r="Y357" s="98">
        <v>150000</v>
      </c>
      <c r="Z357" s="108"/>
      <c r="AA357" s="99">
        <v>0.5</v>
      </c>
      <c r="AB357" s="97">
        <f>X357*Y357*AA357</f>
        <v>1500000</v>
      </c>
      <c r="AC357" s="248"/>
      <c r="AD357" s="241"/>
      <c r="AE357" s="100"/>
    </row>
    <row r="358" spans="1:31" s="101" customFormat="1" ht="21.75" customHeight="1">
      <c r="A358" s="242"/>
      <c r="B358" s="265"/>
      <c r="C358" s="255"/>
      <c r="D358" s="255"/>
      <c r="E358" s="255"/>
      <c r="F358" s="255"/>
      <c r="G358" s="248"/>
      <c r="H358" s="261"/>
      <c r="I358" s="251"/>
      <c r="J358" s="251"/>
      <c r="K358" s="116"/>
      <c r="L358" s="260"/>
      <c r="M358" s="251"/>
      <c r="N358" s="251"/>
      <c r="O358" s="251"/>
      <c r="P358" s="251"/>
      <c r="Q358" s="251"/>
      <c r="R358" s="251"/>
      <c r="S358" s="251"/>
      <c r="T358" s="107" t="s">
        <v>416</v>
      </c>
      <c r="U358" s="102"/>
      <c r="V358" s="102"/>
      <c r="W358" s="96" t="s">
        <v>3</v>
      </c>
      <c r="X358" s="97">
        <v>1</v>
      </c>
      <c r="Y358" s="98"/>
      <c r="Z358" s="105"/>
      <c r="AA358" s="106"/>
      <c r="AB358" s="97"/>
      <c r="AC358" s="248"/>
      <c r="AD358" s="241"/>
      <c r="AE358" s="100"/>
    </row>
    <row r="359" spans="1:31" s="101" customFormat="1" ht="35.25" customHeight="1">
      <c r="A359" s="242">
        <v>34</v>
      </c>
      <c r="B359" s="265" t="s">
        <v>471</v>
      </c>
      <c r="C359" s="255">
        <v>64</v>
      </c>
      <c r="D359" s="255">
        <v>448</v>
      </c>
      <c r="E359" s="255">
        <v>633</v>
      </c>
      <c r="F359" s="255" t="s">
        <v>26</v>
      </c>
      <c r="G359" s="248">
        <v>612</v>
      </c>
      <c r="H359" s="261">
        <f>E359-G359</f>
        <v>21</v>
      </c>
      <c r="I359" s="248">
        <f>G359+G363</f>
        <v>1116</v>
      </c>
      <c r="J359" s="248">
        <v>1944</v>
      </c>
      <c r="K359" s="248"/>
      <c r="L359" s="248">
        <f>I359/J359*100</f>
        <v>57.407407407407405</v>
      </c>
      <c r="M359" s="248">
        <v>6</v>
      </c>
      <c r="N359" s="248">
        <v>4</v>
      </c>
      <c r="O359" s="248">
        <v>80000</v>
      </c>
      <c r="P359" s="248">
        <f>O359*I359</f>
        <v>89280000</v>
      </c>
      <c r="Q359" s="248">
        <f>P359*3</f>
        <v>267840000</v>
      </c>
      <c r="R359" s="248">
        <f>M359*N359*R6</f>
        <v>12240000</v>
      </c>
      <c r="S359" s="248">
        <f>SUM(P359:R365)</f>
        <v>369360000</v>
      </c>
      <c r="T359" s="94" t="s">
        <v>410</v>
      </c>
      <c r="U359" s="102">
        <v>25</v>
      </c>
      <c r="V359" s="102">
        <f>(I359-3.75-7.5)/U359</f>
        <v>44.19</v>
      </c>
      <c r="W359" s="96" t="s">
        <v>2</v>
      </c>
      <c r="X359" s="97">
        <v>52</v>
      </c>
      <c r="Y359" s="98"/>
      <c r="Z359" s="105"/>
      <c r="AA359" s="106"/>
      <c r="AB359" s="97"/>
      <c r="AC359" s="248">
        <f>SUM(AB359:AB365)</f>
        <v>216000000</v>
      </c>
      <c r="AD359" s="241">
        <f>S359+AC359+AC363</f>
        <v>585360000</v>
      </c>
      <c r="AE359" s="100" t="s">
        <v>394</v>
      </c>
    </row>
    <row r="360" spans="1:31" s="101" customFormat="1" ht="21" customHeight="1">
      <c r="A360" s="242"/>
      <c r="B360" s="265"/>
      <c r="C360" s="255"/>
      <c r="D360" s="255"/>
      <c r="E360" s="255"/>
      <c r="F360" s="255"/>
      <c r="G360" s="248"/>
      <c r="H360" s="261"/>
      <c r="I360" s="248"/>
      <c r="J360" s="248"/>
      <c r="K360" s="248"/>
      <c r="L360" s="248"/>
      <c r="M360" s="248"/>
      <c r="N360" s="248"/>
      <c r="O360" s="248"/>
      <c r="P360" s="248"/>
      <c r="Q360" s="248"/>
      <c r="R360" s="248"/>
      <c r="S360" s="248"/>
      <c r="T360" s="104" t="s">
        <v>399</v>
      </c>
      <c r="U360" s="102"/>
      <c r="V360" s="102"/>
      <c r="W360" s="96" t="s">
        <v>2</v>
      </c>
      <c r="X360" s="97">
        <v>44</v>
      </c>
      <c r="Y360" s="98">
        <v>4500000</v>
      </c>
      <c r="Z360" s="105"/>
      <c r="AA360" s="106">
        <v>1</v>
      </c>
      <c r="AB360" s="97">
        <f>X360*Y360*AA360</f>
        <v>198000000</v>
      </c>
      <c r="AC360" s="248"/>
      <c r="AD360" s="241"/>
      <c r="AE360" s="100"/>
    </row>
    <row r="361" spans="1:31" s="101" customFormat="1" ht="24" customHeight="1">
      <c r="A361" s="242"/>
      <c r="B361" s="265"/>
      <c r="C361" s="255"/>
      <c r="D361" s="255"/>
      <c r="E361" s="255"/>
      <c r="F361" s="255"/>
      <c r="G361" s="248"/>
      <c r="H361" s="261"/>
      <c r="I361" s="248"/>
      <c r="J361" s="248"/>
      <c r="K361" s="248"/>
      <c r="L361" s="248"/>
      <c r="M361" s="248"/>
      <c r="N361" s="248"/>
      <c r="O361" s="248"/>
      <c r="P361" s="248"/>
      <c r="Q361" s="248"/>
      <c r="R361" s="248"/>
      <c r="S361" s="248"/>
      <c r="T361" s="104" t="s">
        <v>401</v>
      </c>
      <c r="U361" s="102"/>
      <c r="V361" s="102">
        <f>0.3*V359</f>
        <v>13.257</v>
      </c>
      <c r="W361" s="96" t="s">
        <v>2</v>
      </c>
      <c r="X361" s="97">
        <v>8</v>
      </c>
      <c r="Y361" s="98">
        <v>4500000</v>
      </c>
      <c r="Z361" s="105"/>
      <c r="AA361" s="106">
        <v>0.5</v>
      </c>
      <c r="AB361" s="97">
        <f t="shared" ref="AB361:AB362" si="29">X361*Y361*AA361</f>
        <v>18000000</v>
      </c>
      <c r="AC361" s="248"/>
      <c r="AD361" s="241"/>
      <c r="AE361" s="100"/>
    </row>
    <row r="362" spans="1:31" s="101" customFormat="1" ht="47.25" customHeight="1">
      <c r="A362" s="242"/>
      <c r="B362" s="265"/>
      <c r="C362" s="255"/>
      <c r="D362" s="255"/>
      <c r="E362" s="255"/>
      <c r="F362" s="255"/>
      <c r="G362" s="248"/>
      <c r="H362" s="261"/>
      <c r="I362" s="248"/>
      <c r="J362" s="248"/>
      <c r="K362" s="248"/>
      <c r="L362" s="248"/>
      <c r="M362" s="248"/>
      <c r="N362" s="248"/>
      <c r="O362" s="248"/>
      <c r="P362" s="248"/>
      <c r="Q362" s="248"/>
      <c r="R362" s="248"/>
      <c r="S362" s="248"/>
      <c r="T362" s="107" t="s">
        <v>411</v>
      </c>
      <c r="U362" s="102"/>
      <c r="V362" s="102"/>
      <c r="W362" s="96" t="s">
        <v>0</v>
      </c>
      <c r="X362" s="97">
        <v>288</v>
      </c>
      <c r="Y362" s="98"/>
      <c r="Z362" s="105"/>
      <c r="AA362" s="106">
        <v>0</v>
      </c>
      <c r="AB362" s="97">
        <f t="shared" si="29"/>
        <v>0</v>
      </c>
      <c r="AC362" s="248"/>
      <c r="AD362" s="241"/>
      <c r="AE362" s="100"/>
    </row>
    <row r="363" spans="1:31" s="101" customFormat="1" ht="35.25" customHeight="1">
      <c r="A363" s="242"/>
      <c r="B363" s="265"/>
      <c r="C363" s="242">
        <v>64</v>
      </c>
      <c r="D363" s="242">
        <v>449</v>
      </c>
      <c r="E363" s="242">
        <v>521.5</v>
      </c>
      <c r="F363" s="242" t="s">
        <v>26</v>
      </c>
      <c r="G363" s="251">
        <v>504</v>
      </c>
      <c r="H363" s="262"/>
      <c r="I363" s="248"/>
      <c r="J363" s="248"/>
      <c r="K363" s="248"/>
      <c r="L363" s="248"/>
      <c r="M363" s="248"/>
      <c r="N363" s="248"/>
      <c r="O363" s="248"/>
      <c r="P363" s="248"/>
      <c r="Q363" s="248"/>
      <c r="R363" s="248"/>
      <c r="S363" s="248"/>
      <c r="T363" s="107" t="s">
        <v>472</v>
      </c>
      <c r="U363" s="102"/>
      <c r="V363" s="102"/>
      <c r="W363" s="96" t="s">
        <v>441</v>
      </c>
      <c r="X363" s="97">
        <v>5.6</v>
      </c>
      <c r="Y363" s="98"/>
      <c r="Z363" s="105"/>
      <c r="AA363" s="106"/>
      <c r="AB363" s="97"/>
      <c r="AC363" s="248"/>
      <c r="AD363" s="241"/>
      <c r="AE363" s="100"/>
    </row>
    <row r="364" spans="1:31" s="101" customFormat="1" ht="24" customHeight="1">
      <c r="A364" s="242"/>
      <c r="B364" s="265"/>
      <c r="C364" s="242"/>
      <c r="D364" s="242"/>
      <c r="E364" s="242"/>
      <c r="F364" s="242"/>
      <c r="G364" s="251"/>
      <c r="H364" s="262"/>
      <c r="I364" s="248"/>
      <c r="J364" s="248"/>
      <c r="K364" s="248"/>
      <c r="L364" s="248"/>
      <c r="M364" s="248"/>
      <c r="N364" s="248"/>
      <c r="O364" s="248"/>
      <c r="P364" s="248"/>
      <c r="Q364" s="248"/>
      <c r="R364" s="248"/>
      <c r="S364" s="248"/>
      <c r="T364" s="115" t="s">
        <v>486</v>
      </c>
      <c r="U364" s="109"/>
      <c r="V364" s="109"/>
      <c r="W364" s="96" t="s">
        <v>0</v>
      </c>
      <c r="X364" s="97">
        <v>7.5</v>
      </c>
      <c r="Y364" s="98"/>
      <c r="Z364" s="105"/>
      <c r="AA364" s="106"/>
      <c r="AB364" s="97"/>
      <c r="AC364" s="248"/>
      <c r="AD364" s="241"/>
      <c r="AE364" s="100"/>
    </row>
    <row r="365" spans="1:31" s="101" customFormat="1" ht="21.75" customHeight="1">
      <c r="A365" s="242"/>
      <c r="B365" s="265"/>
      <c r="C365" s="242"/>
      <c r="D365" s="242"/>
      <c r="E365" s="242"/>
      <c r="F365" s="242"/>
      <c r="G365" s="251"/>
      <c r="H365" s="262"/>
      <c r="I365" s="248"/>
      <c r="J365" s="248"/>
      <c r="K365" s="248"/>
      <c r="L365" s="248"/>
      <c r="M365" s="248"/>
      <c r="N365" s="248"/>
      <c r="O365" s="248"/>
      <c r="P365" s="248"/>
      <c r="Q365" s="248"/>
      <c r="R365" s="248"/>
      <c r="S365" s="248"/>
      <c r="T365" s="107" t="s">
        <v>403</v>
      </c>
      <c r="U365" s="102"/>
      <c r="V365" s="102"/>
      <c r="W365" s="96" t="s">
        <v>3</v>
      </c>
      <c r="X365" s="97">
        <v>2</v>
      </c>
      <c r="Y365" s="98"/>
      <c r="Z365" s="105"/>
      <c r="AA365" s="106"/>
      <c r="AB365" s="97"/>
      <c r="AC365" s="248"/>
      <c r="AD365" s="241"/>
      <c r="AE365" s="100"/>
    </row>
    <row r="366" spans="1:31" s="101" customFormat="1" ht="25.5" customHeight="1">
      <c r="A366" s="242">
        <v>35</v>
      </c>
      <c r="B366" s="265" t="s">
        <v>460</v>
      </c>
      <c r="C366" s="255">
        <v>64</v>
      </c>
      <c r="D366" s="255">
        <v>411</v>
      </c>
      <c r="E366" s="255">
        <v>716.8</v>
      </c>
      <c r="F366" s="255" t="s">
        <v>26</v>
      </c>
      <c r="G366" s="248">
        <v>720</v>
      </c>
      <c r="H366" s="261">
        <f>E366-G366</f>
        <v>-3.2000000000000455</v>
      </c>
      <c r="I366" s="261">
        <f>G366+E377</f>
        <v>1655.1</v>
      </c>
      <c r="J366" s="248">
        <v>2406</v>
      </c>
      <c r="K366" s="248"/>
      <c r="L366" s="248">
        <f>I366/J366*100</f>
        <v>68.790523690773071</v>
      </c>
      <c r="M366" s="248">
        <v>6</v>
      </c>
      <c r="N366" s="248">
        <v>4</v>
      </c>
      <c r="O366" s="248">
        <v>80000</v>
      </c>
      <c r="P366" s="248">
        <f>O366*I366</f>
        <v>132408000</v>
      </c>
      <c r="Q366" s="248">
        <f>P366*3</f>
        <v>397224000</v>
      </c>
      <c r="R366" s="248">
        <f>M366*N366*R6</f>
        <v>12240000</v>
      </c>
      <c r="S366" s="248">
        <f>SUM(P366:R391)</f>
        <v>541872000</v>
      </c>
      <c r="T366" s="95" t="s">
        <v>406</v>
      </c>
      <c r="U366" s="102"/>
      <c r="V366" s="102"/>
      <c r="W366" s="96" t="s">
        <v>0</v>
      </c>
      <c r="X366" s="114">
        <v>360</v>
      </c>
      <c r="Y366" s="98">
        <v>180000</v>
      </c>
      <c r="Z366" s="108"/>
      <c r="AA366" s="99">
        <v>1</v>
      </c>
      <c r="AB366" s="97">
        <f t="shared" ref="AB366" si="30">X366*Y366*AA366</f>
        <v>64800000</v>
      </c>
      <c r="AC366" s="248">
        <f>SUM(AB366:AB376)</f>
        <v>138015000</v>
      </c>
      <c r="AD366" s="241">
        <f>S366+AC366+AC377</f>
        <v>879637000</v>
      </c>
      <c r="AE366" s="100" t="s">
        <v>404</v>
      </c>
    </row>
    <row r="367" spans="1:31" s="101" customFormat="1" ht="35.25" customHeight="1">
      <c r="A367" s="242"/>
      <c r="B367" s="265"/>
      <c r="C367" s="255"/>
      <c r="D367" s="255"/>
      <c r="E367" s="255"/>
      <c r="F367" s="255"/>
      <c r="G367" s="248"/>
      <c r="H367" s="261"/>
      <c r="I367" s="261"/>
      <c r="J367" s="248"/>
      <c r="K367" s="248"/>
      <c r="L367" s="248"/>
      <c r="M367" s="248"/>
      <c r="N367" s="248"/>
      <c r="O367" s="248"/>
      <c r="P367" s="248"/>
      <c r="Q367" s="248"/>
      <c r="R367" s="248"/>
      <c r="S367" s="248"/>
      <c r="T367" s="94" t="s">
        <v>420</v>
      </c>
      <c r="U367" s="102">
        <v>25</v>
      </c>
      <c r="V367" s="102">
        <f>(G366-X366)/U367</f>
        <v>14.4</v>
      </c>
      <c r="W367" s="96" t="s">
        <v>2</v>
      </c>
      <c r="X367" s="97">
        <v>15</v>
      </c>
      <c r="Y367" s="98"/>
      <c r="Z367" s="105"/>
      <c r="AA367" s="106"/>
      <c r="AB367" s="97">
        <f t="shared" ref="AB367" si="31">X367*Y367*AA367</f>
        <v>0</v>
      </c>
      <c r="AC367" s="248"/>
      <c r="AD367" s="241"/>
      <c r="AE367" s="100"/>
    </row>
    <row r="368" spans="1:31" s="101" customFormat="1" ht="22.5" customHeight="1">
      <c r="A368" s="242"/>
      <c r="B368" s="265"/>
      <c r="C368" s="255"/>
      <c r="D368" s="255"/>
      <c r="E368" s="255"/>
      <c r="F368" s="255"/>
      <c r="G368" s="248"/>
      <c r="H368" s="261"/>
      <c r="I368" s="261"/>
      <c r="J368" s="248"/>
      <c r="K368" s="248"/>
      <c r="L368" s="248"/>
      <c r="M368" s="248"/>
      <c r="N368" s="248"/>
      <c r="O368" s="248"/>
      <c r="P368" s="248"/>
      <c r="Q368" s="248"/>
      <c r="R368" s="248"/>
      <c r="S368" s="248"/>
      <c r="T368" s="104" t="s">
        <v>399</v>
      </c>
      <c r="U368" s="102"/>
      <c r="V368" s="102"/>
      <c r="W368" s="96" t="s">
        <v>2</v>
      </c>
      <c r="X368" s="97">
        <v>14</v>
      </c>
      <c r="Y368" s="98">
        <v>4500000</v>
      </c>
      <c r="Z368" s="105"/>
      <c r="AA368" s="106">
        <v>1</v>
      </c>
      <c r="AB368" s="97">
        <f t="shared" ref="AB368:AB369" si="32">X368*Y368*AA368</f>
        <v>63000000</v>
      </c>
      <c r="AC368" s="248"/>
      <c r="AD368" s="241"/>
      <c r="AE368" s="100"/>
    </row>
    <row r="369" spans="1:31" s="101" customFormat="1" ht="24" customHeight="1">
      <c r="A369" s="242"/>
      <c r="B369" s="265"/>
      <c r="C369" s="255"/>
      <c r="D369" s="255"/>
      <c r="E369" s="255"/>
      <c r="F369" s="255"/>
      <c r="G369" s="248"/>
      <c r="H369" s="261"/>
      <c r="I369" s="261"/>
      <c r="J369" s="248"/>
      <c r="K369" s="248"/>
      <c r="L369" s="248"/>
      <c r="M369" s="248"/>
      <c r="N369" s="248"/>
      <c r="O369" s="248"/>
      <c r="P369" s="248"/>
      <c r="Q369" s="248"/>
      <c r="R369" s="248"/>
      <c r="S369" s="248"/>
      <c r="T369" s="104" t="s">
        <v>417</v>
      </c>
      <c r="U369" s="102"/>
      <c r="V369" s="102">
        <f>0.3*1</f>
        <v>0.3</v>
      </c>
      <c r="W369" s="96" t="s">
        <v>2</v>
      </c>
      <c r="X369" s="97">
        <v>1</v>
      </c>
      <c r="Y369" s="98">
        <v>4500000</v>
      </c>
      <c r="Z369" s="105"/>
      <c r="AA369" s="106">
        <v>0</v>
      </c>
      <c r="AB369" s="97">
        <f t="shared" si="32"/>
        <v>0</v>
      </c>
      <c r="AC369" s="248"/>
      <c r="AD369" s="241"/>
      <c r="AE369" s="100"/>
    </row>
    <row r="370" spans="1:31" s="101" customFormat="1" ht="37.5" customHeight="1">
      <c r="A370" s="242"/>
      <c r="B370" s="265"/>
      <c r="C370" s="255"/>
      <c r="D370" s="255"/>
      <c r="E370" s="255"/>
      <c r="F370" s="255"/>
      <c r="G370" s="248"/>
      <c r="H370" s="261"/>
      <c r="I370" s="261"/>
      <c r="J370" s="248"/>
      <c r="K370" s="248"/>
      <c r="L370" s="248"/>
      <c r="M370" s="248"/>
      <c r="N370" s="248"/>
      <c r="O370" s="248"/>
      <c r="P370" s="248"/>
      <c r="Q370" s="248"/>
      <c r="R370" s="248"/>
      <c r="S370" s="248"/>
      <c r="T370" s="94" t="s">
        <v>430</v>
      </c>
      <c r="U370" s="102">
        <v>4</v>
      </c>
      <c r="V370" s="102">
        <f>360/U370</f>
        <v>90</v>
      </c>
      <c r="W370" s="96" t="s">
        <v>392</v>
      </c>
      <c r="X370" s="97">
        <v>30</v>
      </c>
      <c r="Y370" s="98"/>
      <c r="Z370" s="108"/>
      <c r="AA370" s="99"/>
      <c r="AB370" s="97"/>
      <c r="AC370" s="248"/>
      <c r="AD370" s="241"/>
      <c r="AE370" s="100"/>
    </row>
    <row r="371" spans="1:31" s="101" customFormat="1" ht="23.25" customHeight="1">
      <c r="A371" s="242"/>
      <c r="B371" s="265"/>
      <c r="C371" s="255"/>
      <c r="D371" s="255"/>
      <c r="E371" s="255"/>
      <c r="F371" s="255"/>
      <c r="G371" s="248"/>
      <c r="H371" s="261"/>
      <c r="I371" s="261"/>
      <c r="J371" s="248"/>
      <c r="K371" s="248"/>
      <c r="L371" s="248"/>
      <c r="M371" s="248"/>
      <c r="N371" s="248"/>
      <c r="O371" s="248"/>
      <c r="P371" s="248"/>
      <c r="Q371" s="248"/>
      <c r="R371" s="248"/>
      <c r="S371" s="248"/>
      <c r="T371" s="104" t="s">
        <v>399</v>
      </c>
      <c r="U371" s="102"/>
      <c r="V371" s="102">
        <f>0.3*V370</f>
        <v>27</v>
      </c>
      <c r="W371" s="96" t="s">
        <v>2</v>
      </c>
      <c r="X371" s="114">
        <v>27</v>
      </c>
      <c r="Y371" s="98">
        <v>150000</v>
      </c>
      <c r="Z371" s="105"/>
      <c r="AA371" s="106">
        <v>0.3</v>
      </c>
      <c r="AB371" s="97">
        <f t="shared" ref="AB371" si="33">X371*Y371*AA371</f>
        <v>1215000</v>
      </c>
      <c r="AC371" s="248"/>
      <c r="AD371" s="241"/>
      <c r="AE371" s="100"/>
    </row>
    <row r="372" spans="1:31" s="101" customFormat="1" ht="21.75" customHeight="1">
      <c r="A372" s="242"/>
      <c r="B372" s="265"/>
      <c r="C372" s="255"/>
      <c r="D372" s="255"/>
      <c r="E372" s="255"/>
      <c r="F372" s="255"/>
      <c r="G372" s="248"/>
      <c r="H372" s="261"/>
      <c r="I372" s="261"/>
      <c r="J372" s="248"/>
      <c r="K372" s="248"/>
      <c r="L372" s="248"/>
      <c r="M372" s="248"/>
      <c r="N372" s="248"/>
      <c r="O372" s="248"/>
      <c r="P372" s="248"/>
      <c r="Q372" s="248"/>
      <c r="R372" s="248"/>
      <c r="S372" s="248"/>
      <c r="T372" s="104" t="s">
        <v>417</v>
      </c>
      <c r="U372" s="102"/>
      <c r="V372" s="102"/>
      <c r="W372" s="96" t="s">
        <v>2</v>
      </c>
      <c r="X372" s="114">
        <v>3</v>
      </c>
      <c r="Y372" s="98">
        <v>150000</v>
      </c>
      <c r="Z372" s="105"/>
      <c r="AA372" s="106">
        <v>0</v>
      </c>
      <c r="AB372" s="97">
        <f t="shared" ref="AB372" si="34">X372*Y372*AA372/100</f>
        <v>0</v>
      </c>
      <c r="AC372" s="248"/>
      <c r="AD372" s="241"/>
      <c r="AE372" s="100"/>
    </row>
    <row r="373" spans="1:31" s="101" customFormat="1" ht="27.75" customHeight="1">
      <c r="A373" s="242"/>
      <c r="B373" s="265"/>
      <c r="C373" s="255"/>
      <c r="D373" s="255"/>
      <c r="E373" s="255"/>
      <c r="F373" s="255"/>
      <c r="G373" s="248"/>
      <c r="H373" s="261"/>
      <c r="I373" s="261"/>
      <c r="J373" s="248"/>
      <c r="K373" s="248"/>
      <c r="L373" s="248"/>
      <c r="M373" s="248"/>
      <c r="N373" s="248"/>
      <c r="O373" s="248"/>
      <c r="P373" s="248"/>
      <c r="Q373" s="248"/>
      <c r="R373" s="248"/>
      <c r="S373" s="248"/>
      <c r="T373" s="104" t="s">
        <v>461</v>
      </c>
      <c r="U373" s="102"/>
      <c r="V373" s="102"/>
      <c r="W373" s="96" t="s">
        <v>0</v>
      </c>
      <c r="X373" s="97">
        <v>300</v>
      </c>
      <c r="Y373" s="98">
        <v>30000</v>
      </c>
      <c r="Z373" s="105"/>
      <c r="AA373" s="99">
        <v>1</v>
      </c>
      <c r="AB373" s="97">
        <f>X373*Y373*AA373</f>
        <v>9000000</v>
      </c>
      <c r="AC373" s="248"/>
      <c r="AD373" s="241"/>
      <c r="AE373" s="100"/>
    </row>
    <row r="374" spans="1:31" s="101" customFormat="1" ht="48" customHeight="1">
      <c r="A374" s="242"/>
      <c r="B374" s="265"/>
      <c r="C374" s="255"/>
      <c r="D374" s="255"/>
      <c r="E374" s="255"/>
      <c r="F374" s="255"/>
      <c r="G374" s="248"/>
      <c r="H374" s="261"/>
      <c r="I374" s="261"/>
      <c r="J374" s="248"/>
      <c r="K374" s="248"/>
      <c r="L374" s="248"/>
      <c r="M374" s="248"/>
      <c r="N374" s="248"/>
      <c r="O374" s="248"/>
      <c r="P374" s="248"/>
      <c r="Q374" s="248"/>
      <c r="R374" s="248"/>
      <c r="S374" s="248"/>
      <c r="T374" s="140" t="s">
        <v>414</v>
      </c>
      <c r="U374" s="102"/>
      <c r="V374" s="102"/>
      <c r="W374" s="96" t="s">
        <v>6</v>
      </c>
      <c r="X374" s="110">
        <v>75</v>
      </c>
      <c r="Y374" s="98"/>
      <c r="Z374" s="105"/>
      <c r="AA374" s="106">
        <v>0</v>
      </c>
      <c r="AB374" s="97">
        <f t="shared" ref="AB374:AB375" si="35">X374*Y374*AA374</f>
        <v>0</v>
      </c>
      <c r="AC374" s="248"/>
      <c r="AD374" s="241"/>
      <c r="AE374" s="100"/>
    </row>
    <row r="375" spans="1:31" s="101" customFormat="1" ht="21.75" customHeight="1">
      <c r="A375" s="242"/>
      <c r="B375" s="265"/>
      <c r="C375" s="255"/>
      <c r="D375" s="255"/>
      <c r="E375" s="255"/>
      <c r="F375" s="255"/>
      <c r="G375" s="248"/>
      <c r="H375" s="261"/>
      <c r="I375" s="261"/>
      <c r="J375" s="248"/>
      <c r="K375" s="248"/>
      <c r="L375" s="248"/>
      <c r="M375" s="248"/>
      <c r="N375" s="248"/>
      <c r="O375" s="248"/>
      <c r="P375" s="248"/>
      <c r="Q375" s="248"/>
      <c r="R375" s="248"/>
      <c r="S375" s="248"/>
      <c r="T375" s="107" t="s">
        <v>428</v>
      </c>
      <c r="U375" s="102"/>
      <c r="V375" s="102"/>
      <c r="W375" s="96" t="s">
        <v>395</v>
      </c>
      <c r="X375" s="110">
        <v>1</v>
      </c>
      <c r="Y375" s="98"/>
      <c r="Z375" s="105"/>
      <c r="AA375" s="106">
        <v>0</v>
      </c>
      <c r="AB375" s="97">
        <f t="shared" si="35"/>
        <v>0</v>
      </c>
      <c r="AC375" s="248"/>
      <c r="AD375" s="241"/>
      <c r="AE375" s="100"/>
    </row>
    <row r="376" spans="1:31" s="101" customFormat="1" ht="26.25" customHeight="1">
      <c r="A376" s="242"/>
      <c r="B376" s="265"/>
      <c r="C376" s="255"/>
      <c r="D376" s="255"/>
      <c r="E376" s="255"/>
      <c r="F376" s="255"/>
      <c r="G376" s="248"/>
      <c r="H376" s="261"/>
      <c r="I376" s="261"/>
      <c r="J376" s="248"/>
      <c r="K376" s="248"/>
      <c r="L376" s="248"/>
      <c r="M376" s="248"/>
      <c r="N376" s="248"/>
      <c r="O376" s="248"/>
      <c r="P376" s="248"/>
      <c r="Q376" s="248"/>
      <c r="R376" s="248"/>
      <c r="S376" s="248"/>
      <c r="T376" s="115" t="s">
        <v>462</v>
      </c>
      <c r="U376" s="102"/>
      <c r="V376" s="102"/>
      <c r="W376" s="96" t="s">
        <v>441</v>
      </c>
      <c r="X376" s="110">
        <v>0.4</v>
      </c>
      <c r="Y376" s="148"/>
      <c r="Z376" s="105"/>
      <c r="AA376" s="99">
        <v>0</v>
      </c>
      <c r="AB376" s="97">
        <f t="shared" ref="AB376" si="36">X376*Y376*AA376</f>
        <v>0</v>
      </c>
      <c r="AC376" s="248"/>
      <c r="AD376" s="241"/>
      <c r="AE376" s="100"/>
    </row>
    <row r="377" spans="1:31" s="101" customFormat="1" ht="35.25" customHeight="1">
      <c r="A377" s="242"/>
      <c r="B377" s="265"/>
      <c r="C377" s="242">
        <v>64</v>
      </c>
      <c r="D377" s="242">
        <v>579</v>
      </c>
      <c r="E377" s="242">
        <v>935.1</v>
      </c>
      <c r="F377" s="242" t="s">
        <v>26</v>
      </c>
      <c r="G377" s="251">
        <v>966</v>
      </c>
      <c r="H377" s="262"/>
      <c r="I377" s="261"/>
      <c r="J377" s="248"/>
      <c r="K377" s="248"/>
      <c r="L377" s="248"/>
      <c r="M377" s="248"/>
      <c r="N377" s="248"/>
      <c r="O377" s="248"/>
      <c r="P377" s="248"/>
      <c r="Q377" s="248"/>
      <c r="R377" s="248"/>
      <c r="S377" s="248"/>
      <c r="T377" s="94" t="s">
        <v>410</v>
      </c>
      <c r="U377" s="102">
        <v>25</v>
      </c>
      <c r="V377" s="102">
        <f>(E377-X388-X389)/U377</f>
        <v>36.564</v>
      </c>
      <c r="W377" s="96" t="s">
        <v>2</v>
      </c>
      <c r="X377" s="97">
        <v>35</v>
      </c>
      <c r="Y377" s="98"/>
      <c r="Z377" s="105"/>
      <c r="AA377" s="106"/>
      <c r="AB377" s="97"/>
      <c r="AC377" s="248">
        <f>SUM(AB377:AB391)</f>
        <v>199750000</v>
      </c>
      <c r="AD377" s="241"/>
      <c r="AE377" s="100" t="s">
        <v>478</v>
      </c>
    </row>
    <row r="378" spans="1:31" s="101" customFormat="1" ht="23.25" customHeight="1">
      <c r="A378" s="242"/>
      <c r="B378" s="265"/>
      <c r="C378" s="242"/>
      <c r="D378" s="242"/>
      <c r="E378" s="242"/>
      <c r="F378" s="242"/>
      <c r="G378" s="251"/>
      <c r="H378" s="262"/>
      <c r="I378" s="261"/>
      <c r="J378" s="248"/>
      <c r="K378" s="248"/>
      <c r="L378" s="248"/>
      <c r="M378" s="248"/>
      <c r="N378" s="248"/>
      <c r="O378" s="248"/>
      <c r="P378" s="248"/>
      <c r="Q378" s="248"/>
      <c r="R378" s="248"/>
      <c r="S378" s="248"/>
      <c r="T378" s="104" t="s">
        <v>399</v>
      </c>
      <c r="U378" s="102"/>
      <c r="V378" s="102"/>
      <c r="W378" s="96" t="s">
        <v>2</v>
      </c>
      <c r="X378" s="97">
        <v>35</v>
      </c>
      <c r="Y378" s="98">
        <v>4500000</v>
      </c>
      <c r="Z378" s="105"/>
      <c r="AA378" s="106">
        <v>1</v>
      </c>
      <c r="AB378" s="97">
        <f>X378*Y378*AA378</f>
        <v>157500000</v>
      </c>
      <c r="AC378" s="248"/>
      <c r="AD378" s="241"/>
      <c r="AE378" s="100"/>
    </row>
    <row r="379" spans="1:31" s="101" customFormat="1" ht="32.25" customHeight="1">
      <c r="A379" s="242"/>
      <c r="B379" s="265"/>
      <c r="C379" s="242"/>
      <c r="D379" s="242"/>
      <c r="E379" s="242"/>
      <c r="F379" s="242"/>
      <c r="G379" s="251"/>
      <c r="H379" s="262"/>
      <c r="I379" s="261"/>
      <c r="J379" s="248"/>
      <c r="K379" s="248"/>
      <c r="L379" s="248"/>
      <c r="M379" s="248"/>
      <c r="N379" s="248"/>
      <c r="O379" s="248"/>
      <c r="P379" s="248"/>
      <c r="Q379" s="248"/>
      <c r="R379" s="248"/>
      <c r="S379" s="248"/>
      <c r="T379" s="94" t="s">
        <v>442</v>
      </c>
      <c r="U379" s="102">
        <v>20</v>
      </c>
      <c r="V379" s="102">
        <f>(G377-X389)/U379</f>
        <v>48</v>
      </c>
      <c r="W379" s="96" t="s">
        <v>2</v>
      </c>
      <c r="X379" s="97">
        <v>14</v>
      </c>
      <c r="Y379" s="98"/>
      <c r="Z379" s="105"/>
      <c r="AA379" s="106"/>
      <c r="AB379" s="97">
        <f t="shared" ref="AB379:AB380" si="37">X379*Y379*AA379</f>
        <v>0</v>
      </c>
      <c r="AC379" s="248"/>
      <c r="AD379" s="241"/>
      <c r="AE379" s="100"/>
    </row>
    <row r="380" spans="1:31" s="101" customFormat="1" ht="23.25" customHeight="1">
      <c r="A380" s="242"/>
      <c r="B380" s="265"/>
      <c r="C380" s="242"/>
      <c r="D380" s="242"/>
      <c r="E380" s="242"/>
      <c r="F380" s="242"/>
      <c r="G380" s="251"/>
      <c r="H380" s="262"/>
      <c r="I380" s="261"/>
      <c r="J380" s="248"/>
      <c r="K380" s="248"/>
      <c r="L380" s="248"/>
      <c r="M380" s="248"/>
      <c r="N380" s="248"/>
      <c r="O380" s="248"/>
      <c r="P380" s="248"/>
      <c r="Q380" s="248"/>
      <c r="R380" s="248"/>
      <c r="S380" s="248"/>
      <c r="T380" s="104" t="s">
        <v>463</v>
      </c>
      <c r="U380" s="102"/>
      <c r="V380" s="102"/>
      <c r="W380" s="96" t="s">
        <v>2</v>
      </c>
      <c r="X380" s="97">
        <v>14</v>
      </c>
      <c r="Y380" s="98">
        <v>2500000</v>
      </c>
      <c r="Z380" s="105"/>
      <c r="AA380" s="106">
        <v>0.5</v>
      </c>
      <c r="AB380" s="97">
        <f t="shared" si="37"/>
        <v>17500000</v>
      </c>
      <c r="AC380" s="248"/>
      <c r="AD380" s="241"/>
      <c r="AE380" s="100"/>
    </row>
    <row r="381" spans="1:31" s="101" customFormat="1" ht="37.5" customHeight="1">
      <c r="A381" s="242"/>
      <c r="B381" s="265"/>
      <c r="C381" s="242"/>
      <c r="D381" s="242"/>
      <c r="E381" s="242"/>
      <c r="F381" s="242"/>
      <c r="G381" s="251"/>
      <c r="H381" s="262"/>
      <c r="I381" s="261"/>
      <c r="J381" s="248"/>
      <c r="K381" s="248"/>
      <c r="L381" s="248"/>
      <c r="M381" s="248"/>
      <c r="N381" s="248"/>
      <c r="O381" s="248"/>
      <c r="P381" s="248"/>
      <c r="Q381" s="248"/>
      <c r="R381" s="248"/>
      <c r="S381" s="248"/>
      <c r="T381" s="107" t="s">
        <v>464</v>
      </c>
      <c r="U381" s="102">
        <v>25</v>
      </c>
      <c r="V381" s="102">
        <v>37.799999999999997</v>
      </c>
      <c r="W381" s="96" t="s">
        <v>2</v>
      </c>
      <c r="X381" s="110">
        <v>5</v>
      </c>
      <c r="Y381" s="98"/>
      <c r="Z381" s="105"/>
      <c r="AA381" s="106"/>
      <c r="AB381" s="97"/>
      <c r="AC381" s="248"/>
      <c r="AD381" s="241"/>
      <c r="AE381" s="100"/>
    </row>
    <row r="382" spans="1:31" s="101" customFormat="1" ht="23.25" customHeight="1">
      <c r="A382" s="242"/>
      <c r="B382" s="265"/>
      <c r="C382" s="242"/>
      <c r="D382" s="242"/>
      <c r="E382" s="242"/>
      <c r="F382" s="242"/>
      <c r="G382" s="251"/>
      <c r="H382" s="262"/>
      <c r="I382" s="261"/>
      <c r="J382" s="248"/>
      <c r="K382" s="248"/>
      <c r="L382" s="248"/>
      <c r="M382" s="248"/>
      <c r="N382" s="248"/>
      <c r="O382" s="248"/>
      <c r="P382" s="248"/>
      <c r="Q382" s="248"/>
      <c r="R382" s="248"/>
      <c r="S382" s="248"/>
      <c r="T382" s="104" t="s">
        <v>399</v>
      </c>
      <c r="U382" s="102"/>
      <c r="V382" s="102"/>
      <c r="W382" s="96" t="s">
        <v>2</v>
      </c>
      <c r="X382" s="97">
        <v>5</v>
      </c>
      <c r="Y382" s="98">
        <v>1500000</v>
      </c>
      <c r="Z382" s="105"/>
      <c r="AA382" s="106">
        <v>0.5</v>
      </c>
      <c r="AB382" s="97">
        <f t="shared" ref="AB382:AB391" si="38">X382*Y382*AA382</f>
        <v>3750000</v>
      </c>
      <c r="AC382" s="248"/>
      <c r="AD382" s="241"/>
      <c r="AE382" s="100"/>
    </row>
    <row r="383" spans="1:31" s="101" customFormat="1" ht="24.75" customHeight="1">
      <c r="A383" s="242"/>
      <c r="B383" s="265"/>
      <c r="C383" s="242"/>
      <c r="D383" s="242"/>
      <c r="E383" s="242"/>
      <c r="F383" s="242"/>
      <c r="G383" s="251"/>
      <c r="H383" s="262"/>
      <c r="I383" s="261"/>
      <c r="J383" s="248"/>
      <c r="K383" s="248"/>
      <c r="L383" s="248"/>
      <c r="M383" s="248"/>
      <c r="N383" s="248"/>
      <c r="O383" s="248"/>
      <c r="P383" s="248"/>
      <c r="Q383" s="248"/>
      <c r="R383" s="248"/>
      <c r="S383" s="248"/>
      <c r="T383" s="104" t="s">
        <v>461</v>
      </c>
      <c r="U383" s="102"/>
      <c r="V383" s="102"/>
      <c r="W383" s="96" t="s">
        <v>0</v>
      </c>
      <c r="X383" s="97">
        <v>700</v>
      </c>
      <c r="Y383" s="98">
        <v>30000</v>
      </c>
      <c r="Z383" s="105"/>
      <c r="AA383" s="99">
        <v>1</v>
      </c>
      <c r="AB383" s="97">
        <f>X383*Y383*AA383</f>
        <v>21000000</v>
      </c>
      <c r="AC383" s="248"/>
      <c r="AD383" s="241"/>
      <c r="AE383" s="100"/>
    </row>
    <row r="384" spans="1:31" s="101" customFormat="1" ht="38.25" customHeight="1">
      <c r="A384" s="242"/>
      <c r="B384" s="265"/>
      <c r="C384" s="242"/>
      <c r="D384" s="242"/>
      <c r="E384" s="242"/>
      <c r="F384" s="242"/>
      <c r="G384" s="251"/>
      <c r="H384" s="262"/>
      <c r="I384" s="261"/>
      <c r="J384" s="248"/>
      <c r="K384" s="248"/>
      <c r="L384" s="248"/>
      <c r="M384" s="248"/>
      <c r="N384" s="248"/>
      <c r="O384" s="248"/>
      <c r="P384" s="248"/>
      <c r="Q384" s="248"/>
      <c r="R384" s="248"/>
      <c r="S384" s="248"/>
      <c r="T384" s="107" t="s">
        <v>465</v>
      </c>
      <c r="U384" s="102"/>
      <c r="V384" s="102"/>
      <c r="W384" s="96" t="s">
        <v>0</v>
      </c>
      <c r="X384" s="110">
        <v>6</v>
      </c>
      <c r="Y384" s="98"/>
      <c r="Z384" s="105"/>
      <c r="AA384" s="106"/>
      <c r="AB384" s="97"/>
      <c r="AC384" s="248"/>
      <c r="AD384" s="241"/>
      <c r="AE384" s="100"/>
    </row>
    <row r="385" spans="1:31" s="101" customFormat="1" ht="39" customHeight="1">
      <c r="A385" s="242"/>
      <c r="B385" s="265"/>
      <c r="C385" s="242"/>
      <c r="D385" s="242"/>
      <c r="E385" s="242"/>
      <c r="F385" s="242"/>
      <c r="G385" s="251"/>
      <c r="H385" s="262"/>
      <c r="I385" s="261"/>
      <c r="J385" s="248"/>
      <c r="K385" s="248"/>
      <c r="L385" s="248"/>
      <c r="M385" s="248"/>
      <c r="N385" s="248"/>
      <c r="O385" s="248"/>
      <c r="P385" s="248"/>
      <c r="Q385" s="248"/>
      <c r="R385" s="248"/>
      <c r="S385" s="248"/>
      <c r="T385" s="107" t="s">
        <v>485</v>
      </c>
      <c r="U385" s="102"/>
      <c r="V385" s="102"/>
      <c r="W385" s="96" t="s">
        <v>396</v>
      </c>
      <c r="X385" s="97">
        <v>40</v>
      </c>
      <c r="Y385" s="98"/>
      <c r="Z385" s="105"/>
      <c r="AA385" s="106"/>
      <c r="AB385" s="97"/>
      <c r="AC385" s="248"/>
      <c r="AD385" s="241"/>
      <c r="AE385" s="100"/>
    </row>
    <row r="386" spans="1:31" s="101" customFormat="1" ht="23.25" customHeight="1">
      <c r="A386" s="242"/>
      <c r="B386" s="265"/>
      <c r="C386" s="242"/>
      <c r="D386" s="242"/>
      <c r="E386" s="242"/>
      <c r="F386" s="242"/>
      <c r="G386" s="251"/>
      <c r="H386" s="262"/>
      <c r="I386" s="261"/>
      <c r="J386" s="248"/>
      <c r="K386" s="248"/>
      <c r="L386" s="248"/>
      <c r="M386" s="248"/>
      <c r="N386" s="248"/>
      <c r="O386" s="248"/>
      <c r="P386" s="248"/>
      <c r="Q386" s="248"/>
      <c r="R386" s="248"/>
      <c r="S386" s="248"/>
      <c r="T386" s="115" t="s">
        <v>462</v>
      </c>
      <c r="U386" s="102"/>
      <c r="V386" s="102"/>
      <c r="W386" s="96" t="s">
        <v>441</v>
      </c>
      <c r="X386" s="110">
        <v>0.8</v>
      </c>
      <c r="Y386" s="98"/>
      <c r="Z386" s="105"/>
      <c r="AA386" s="106"/>
      <c r="AB386" s="97"/>
      <c r="AC386" s="248"/>
      <c r="AD386" s="241"/>
      <c r="AE386" s="100"/>
    </row>
    <row r="387" spans="1:31" s="101" customFormat="1" ht="23.25" customHeight="1">
      <c r="A387" s="242"/>
      <c r="B387" s="265"/>
      <c r="C387" s="242"/>
      <c r="D387" s="242"/>
      <c r="E387" s="242"/>
      <c r="F387" s="242"/>
      <c r="G387" s="251"/>
      <c r="H387" s="262"/>
      <c r="I387" s="261"/>
      <c r="J387" s="248"/>
      <c r="K387" s="248"/>
      <c r="L387" s="248"/>
      <c r="M387" s="248"/>
      <c r="N387" s="248"/>
      <c r="O387" s="248"/>
      <c r="P387" s="248"/>
      <c r="Q387" s="248"/>
      <c r="R387" s="248"/>
      <c r="S387" s="248"/>
      <c r="T387" s="115" t="s">
        <v>466</v>
      </c>
      <c r="U387" s="109"/>
      <c r="V387" s="109"/>
      <c r="W387" s="96" t="s">
        <v>0</v>
      </c>
      <c r="X387" s="97">
        <v>88</v>
      </c>
      <c r="Y387" s="98"/>
      <c r="Z387" s="105"/>
      <c r="AA387" s="106"/>
      <c r="AB387" s="97"/>
      <c r="AC387" s="248"/>
      <c r="AD387" s="241"/>
      <c r="AE387" s="100"/>
    </row>
    <row r="388" spans="1:31" s="101" customFormat="1" ht="21.75" customHeight="1">
      <c r="A388" s="242"/>
      <c r="B388" s="265"/>
      <c r="C388" s="242"/>
      <c r="D388" s="242"/>
      <c r="E388" s="242"/>
      <c r="F388" s="242"/>
      <c r="G388" s="251"/>
      <c r="H388" s="262"/>
      <c r="I388" s="261"/>
      <c r="J388" s="248"/>
      <c r="K388" s="248"/>
      <c r="L388" s="248"/>
      <c r="M388" s="248"/>
      <c r="N388" s="248"/>
      <c r="O388" s="248"/>
      <c r="P388" s="248"/>
      <c r="Q388" s="248"/>
      <c r="R388" s="248"/>
      <c r="S388" s="248"/>
      <c r="T388" s="104" t="s">
        <v>467</v>
      </c>
      <c r="U388" s="102"/>
      <c r="V388" s="102"/>
      <c r="W388" s="96" t="s">
        <v>0</v>
      </c>
      <c r="X388" s="97">
        <v>15</v>
      </c>
      <c r="Y388" s="98"/>
      <c r="Z388" s="105"/>
      <c r="AA388" s="106"/>
      <c r="AB388" s="97"/>
      <c r="AC388" s="248"/>
      <c r="AD388" s="241"/>
      <c r="AE388" s="100"/>
    </row>
    <row r="389" spans="1:31" s="101" customFormat="1" ht="66" customHeight="1">
      <c r="A389" s="242"/>
      <c r="B389" s="265"/>
      <c r="C389" s="242"/>
      <c r="D389" s="242"/>
      <c r="E389" s="242"/>
      <c r="F389" s="242"/>
      <c r="G389" s="251"/>
      <c r="H389" s="262"/>
      <c r="I389" s="261"/>
      <c r="J389" s="248"/>
      <c r="K389" s="248"/>
      <c r="L389" s="248"/>
      <c r="M389" s="248"/>
      <c r="N389" s="248"/>
      <c r="O389" s="248"/>
      <c r="P389" s="248"/>
      <c r="Q389" s="248"/>
      <c r="R389" s="248"/>
      <c r="S389" s="248"/>
      <c r="T389" s="107" t="s">
        <v>468</v>
      </c>
      <c r="U389" s="102"/>
      <c r="V389" s="102"/>
      <c r="W389" s="96" t="s">
        <v>0</v>
      </c>
      <c r="X389" s="97">
        <v>6</v>
      </c>
      <c r="Y389" s="98"/>
      <c r="Z389" s="105"/>
      <c r="AA389" s="106"/>
      <c r="AB389" s="97"/>
      <c r="AC389" s="248"/>
      <c r="AD389" s="241"/>
      <c r="AE389" s="100"/>
    </row>
    <row r="390" spans="1:31" s="101" customFormat="1" ht="48.75" customHeight="1">
      <c r="A390" s="242"/>
      <c r="B390" s="265"/>
      <c r="C390" s="242"/>
      <c r="D390" s="242"/>
      <c r="E390" s="242"/>
      <c r="F390" s="242"/>
      <c r="G390" s="251"/>
      <c r="H390" s="262"/>
      <c r="I390" s="261"/>
      <c r="J390" s="248"/>
      <c r="K390" s="248"/>
      <c r="L390" s="248"/>
      <c r="M390" s="248"/>
      <c r="N390" s="248"/>
      <c r="O390" s="248"/>
      <c r="P390" s="248"/>
      <c r="Q390" s="248"/>
      <c r="R390" s="248"/>
      <c r="S390" s="248"/>
      <c r="T390" s="140" t="s">
        <v>469</v>
      </c>
      <c r="U390" s="102"/>
      <c r="V390" s="102"/>
      <c r="W390" s="96" t="s">
        <v>6</v>
      </c>
      <c r="X390" s="110">
        <v>44</v>
      </c>
      <c r="Y390" s="98"/>
      <c r="Z390" s="105"/>
      <c r="AA390" s="106">
        <v>0</v>
      </c>
      <c r="AB390" s="97">
        <f t="shared" si="38"/>
        <v>0</v>
      </c>
      <c r="AC390" s="248"/>
      <c r="AD390" s="241"/>
      <c r="AE390" s="100"/>
    </row>
    <row r="391" spans="1:31" s="101" customFormat="1" ht="21.75" customHeight="1">
      <c r="A391" s="242"/>
      <c r="B391" s="265"/>
      <c r="C391" s="242"/>
      <c r="D391" s="242"/>
      <c r="E391" s="242"/>
      <c r="F391" s="242"/>
      <c r="G391" s="251"/>
      <c r="H391" s="262"/>
      <c r="I391" s="261"/>
      <c r="J391" s="248"/>
      <c r="K391" s="248"/>
      <c r="L391" s="248"/>
      <c r="M391" s="248"/>
      <c r="N391" s="248"/>
      <c r="O391" s="248"/>
      <c r="P391" s="248"/>
      <c r="Q391" s="248"/>
      <c r="R391" s="248"/>
      <c r="S391" s="248"/>
      <c r="T391" s="107" t="s">
        <v>470</v>
      </c>
      <c r="U391" s="102"/>
      <c r="V391" s="102"/>
      <c r="W391" s="96" t="s">
        <v>395</v>
      </c>
      <c r="X391" s="110">
        <v>1</v>
      </c>
      <c r="Y391" s="98"/>
      <c r="Z391" s="105"/>
      <c r="AA391" s="106">
        <v>0</v>
      </c>
      <c r="AB391" s="97">
        <f t="shared" si="38"/>
        <v>0</v>
      </c>
      <c r="AC391" s="248"/>
      <c r="AD391" s="241"/>
      <c r="AE391" s="100"/>
    </row>
    <row r="392" spans="1:31" s="14" customFormat="1" ht="27" customHeight="1">
      <c r="A392" s="15"/>
      <c r="B392" s="16" t="s">
        <v>435</v>
      </c>
      <c r="C392" s="17"/>
      <c r="D392" s="17"/>
      <c r="E392" s="17"/>
      <c r="F392" s="17"/>
      <c r="G392" s="15"/>
      <c r="H392" s="18"/>
      <c r="I392" s="19"/>
      <c r="J392" s="19"/>
      <c r="K392" s="15"/>
      <c r="L392" s="20"/>
      <c r="M392" s="21"/>
      <c r="N392" s="21"/>
      <c r="O392" s="21"/>
      <c r="P392" s="21"/>
      <c r="Q392" s="21"/>
      <c r="R392" s="21"/>
      <c r="S392" s="21"/>
      <c r="T392" s="22"/>
      <c r="U392" s="18"/>
      <c r="V392" s="18"/>
      <c r="W392" s="15"/>
      <c r="X392" s="21"/>
      <c r="Y392" s="21"/>
      <c r="Z392" s="23"/>
      <c r="AA392" s="24"/>
      <c r="AB392" s="25"/>
      <c r="AC392" s="21"/>
      <c r="AD392" s="21"/>
      <c r="AE392" s="13"/>
    </row>
    <row r="393" spans="1:31" s="101" customFormat="1" ht="33.75" customHeight="1">
      <c r="A393" s="242">
        <v>36</v>
      </c>
      <c r="B393" s="265" t="s">
        <v>474</v>
      </c>
      <c r="C393" s="255">
        <v>64</v>
      </c>
      <c r="D393" s="255">
        <v>578</v>
      </c>
      <c r="E393" s="255">
        <v>755.6</v>
      </c>
      <c r="F393" s="242" t="s">
        <v>26</v>
      </c>
      <c r="G393" s="261">
        <v>792</v>
      </c>
      <c r="H393" s="261"/>
      <c r="I393" s="261">
        <f>E393+G403</f>
        <v>1163.5999999999999</v>
      </c>
      <c r="J393" s="248">
        <v>1872</v>
      </c>
      <c r="K393" s="248"/>
      <c r="L393" s="261">
        <f>I393/J393*100</f>
        <v>62.158119658119645</v>
      </c>
      <c r="M393" s="248">
        <v>6</v>
      </c>
      <c r="N393" s="248">
        <v>4</v>
      </c>
      <c r="O393" s="248">
        <v>80000</v>
      </c>
      <c r="P393" s="248">
        <f>O393*I393</f>
        <v>93088000</v>
      </c>
      <c r="Q393" s="248">
        <f>P393*3</f>
        <v>279264000</v>
      </c>
      <c r="R393" s="248">
        <f>M393*N393*R6</f>
        <v>12240000</v>
      </c>
      <c r="S393" s="248">
        <f>SUM(P393:R407)</f>
        <v>384592000</v>
      </c>
      <c r="T393" s="94" t="s">
        <v>481</v>
      </c>
      <c r="U393" s="102">
        <v>20</v>
      </c>
      <c r="V393" s="102">
        <f>E393/U393</f>
        <v>37.78</v>
      </c>
      <c r="W393" s="96" t="s">
        <v>2</v>
      </c>
      <c r="X393" s="97">
        <v>56</v>
      </c>
      <c r="Y393" s="98"/>
      <c r="Z393" s="105"/>
      <c r="AA393" s="106"/>
      <c r="AB393" s="97">
        <f t="shared" ref="AB393:AB397" si="39">X393*Y393*AA393</f>
        <v>0</v>
      </c>
      <c r="AC393" s="248">
        <f>SUM(AB393:AB402)</f>
        <v>128250000</v>
      </c>
      <c r="AD393" s="241">
        <f>S393+AC393+AC403</f>
        <v>525142000</v>
      </c>
      <c r="AE393" s="100" t="s">
        <v>479</v>
      </c>
    </row>
    <row r="394" spans="1:31" s="101" customFormat="1" ht="22.5" customHeight="1">
      <c r="A394" s="242"/>
      <c r="B394" s="265"/>
      <c r="C394" s="255"/>
      <c r="D394" s="255"/>
      <c r="E394" s="255"/>
      <c r="F394" s="242"/>
      <c r="G394" s="261"/>
      <c r="H394" s="261"/>
      <c r="I394" s="261"/>
      <c r="J394" s="248"/>
      <c r="K394" s="248"/>
      <c r="L394" s="261"/>
      <c r="M394" s="248"/>
      <c r="N394" s="248"/>
      <c r="O394" s="248"/>
      <c r="P394" s="248"/>
      <c r="Q394" s="248"/>
      <c r="R394" s="248"/>
      <c r="S394" s="248"/>
      <c r="T394" s="104" t="s">
        <v>399</v>
      </c>
      <c r="U394" s="102"/>
      <c r="V394" s="102"/>
      <c r="W394" s="96" t="s">
        <v>2</v>
      </c>
      <c r="X394" s="97">
        <v>38</v>
      </c>
      <c r="Y394" s="98">
        <v>2500000</v>
      </c>
      <c r="Z394" s="105"/>
      <c r="AA394" s="106">
        <v>1</v>
      </c>
      <c r="AB394" s="97">
        <f>X394*Y394*AA394</f>
        <v>95000000</v>
      </c>
      <c r="AC394" s="248"/>
      <c r="AD394" s="241"/>
      <c r="AE394" s="100"/>
    </row>
    <row r="395" spans="1:31" s="101" customFormat="1" ht="22.5" customHeight="1">
      <c r="A395" s="242"/>
      <c r="B395" s="265"/>
      <c r="C395" s="255"/>
      <c r="D395" s="255"/>
      <c r="E395" s="255"/>
      <c r="F395" s="242"/>
      <c r="G395" s="261"/>
      <c r="H395" s="261"/>
      <c r="I395" s="261"/>
      <c r="J395" s="248"/>
      <c r="K395" s="248"/>
      <c r="L395" s="261"/>
      <c r="M395" s="248"/>
      <c r="N395" s="248"/>
      <c r="O395" s="248"/>
      <c r="P395" s="248"/>
      <c r="Q395" s="248"/>
      <c r="R395" s="248"/>
      <c r="S395" s="248"/>
      <c r="T395" s="104" t="s">
        <v>401</v>
      </c>
      <c r="U395" s="102"/>
      <c r="V395" s="102">
        <f>0.3*V393</f>
        <v>11.334</v>
      </c>
      <c r="W395" s="96" t="s">
        <v>2</v>
      </c>
      <c r="X395" s="97">
        <v>11</v>
      </c>
      <c r="Y395" s="98">
        <v>2500000</v>
      </c>
      <c r="Z395" s="105"/>
      <c r="AA395" s="106">
        <v>0.5</v>
      </c>
      <c r="AB395" s="97">
        <f t="shared" si="39"/>
        <v>13750000</v>
      </c>
      <c r="AC395" s="248"/>
      <c r="AD395" s="241"/>
      <c r="AE395" s="100"/>
    </row>
    <row r="396" spans="1:31" s="101" customFormat="1" ht="22.5" customHeight="1">
      <c r="A396" s="242"/>
      <c r="B396" s="265"/>
      <c r="C396" s="255"/>
      <c r="D396" s="255"/>
      <c r="E396" s="255"/>
      <c r="F396" s="242"/>
      <c r="G396" s="261"/>
      <c r="H396" s="261"/>
      <c r="I396" s="261"/>
      <c r="J396" s="248"/>
      <c r="K396" s="248"/>
      <c r="L396" s="261"/>
      <c r="M396" s="248"/>
      <c r="N396" s="248"/>
      <c r="O396" s="248"/>
      <c r="P396" s="248"/>
      <c r="Q396" s="248"/>
      <c r="R396" s="248"/>
      <c r="S396" s="248"/>
      <c r="T396" s="104" t="s">
        <v>402</v>
      </c>
      <c r="U396" s="102"/>
      <c r="V396" s="102"/>
      <c r="W396" s="96" t="s">
        <v>2</v>
      </c>
      <c r="X396" s="97">
        <v>7</v>
      </c>
      <c r="Y396" s="98">
        <v>2500000</v>
      </c>
      <c r="Z396" s="105"/>
      <c r="AA396" s="106">
        <v>0</v>
      </c>
      <c r="AB396" s="97">
        <f t="shared" si="39"/>
        <v>0</v>
      </c>
      <c r="AC396" s="248"/>
      <c r="AD396" s="241"/>
      <c r="AE396" s="100"/>
    </row>
    <row r="397" spans="1:31" s="101" customFormat="1" ht="22.5" customHeight="1">
      <c r="A397" s="242"/>
      <c r="B397" s="265"/>
      <c r="C397" s="255"/>
      <c r="D397" s="255"/>
      <c r="E397" s="255"/>
      <c r="F397" s="242"/>
      <c r="G397" s="261"/>
      <c r="H397" s="261"/>
      <c r="I397" s="261"/>
      <c r="J397" s="248"/>
      <c r="K397" s="248"/>
      <c r="L397" s="261"/>
      <c r="M397" s="248"/>
      <c r="N397" s="248"/>
      <c r="O397" s="248"/>
      <c r="P397" s="248"/>
      <c r="Q397" s="248"/>
      <c r="R397" s="248"/>
      <c r="S397" s="248"/>
      <c r="T397" s="107" t="s">
        <v>475</v>
      </c>
      <c r="U397" s="102"/>
      <c r="V397" s="102"/>
      <c r="W397" s="96" t="s">
        <v>0</v>
      </c>
      <c r="X397" s="110">
        <v>650</v>
      </c>
      <c r="Y397" s="98">
        <v>30000</v>
      </c>
      <c r="Z397" s="105"/>
      <c r="AA397" s="106">
        <v>1</v>
      </c>
      <c r="AB397" s="97">
        <f t="shared" si="39"/>
        <v>19500000</v>
      </c>
      <c r="AC397" s="248"/>
      <c r="AD397" s="241"/>
      <c r="AE397" s="100"/>
    </row>
    <row r="398" spans="1:31" s="101" customFormat="1" ht="33.75" customHeight="1">
      <c r="A398" s="242"/>
      <c r="B398" s="265"/>
      <c r="C398" s="255"/>
      <c r="D398" s="255"/>
      <c r="E398" s="255"/>
      <c r="F398" s="242"/>
      <c r="G398" s="261"/>
      <c r="H398" s="261"/>
      <c r="I398" s="261"/>
      <c r="J398" s="248"/>
      <c r="K398" s="248"/>
      <c r="L398" s="261"/>
      <c r="M398" s="248"/>
      <c r="N398" s="248"/>
      <c r="O398" s="248"/>
      <c r="P398" s="248"/>
      <c r="Q398" s="248"/>
      <c r="R398" s="248"/>
      <c r="S398" s="248"/>
      <c r="T398" s="107" t="s">
        <v>484</v>
      </c>
      <c r="U398" s="102"/>
      <c r="V398" s="102"/>
      <c r="W398" s="96" t="s">
        <v>396</v>
      </c>
      <c r="X398" s="97">
        <v>40</v>
      </c>
      <c r="Y398" s="98"/>
      <c r="Z398" s="105"/>
      <c r="AA398" s="106"/>
      <c r="AB398" s="97"/>
      <c r="AC398" s="248"/>
      <c r="AD398" s="241"/>
      <c r="AE398" s="100"/>
    </row>
    <row r="399" spans="1:31" s="101" customFormat="1" ht="22.5" customHeight="1">
      <c r="A399" s="242"/>
      <c r="B399" s="265"/>
      <c r="C399" s="255"/>
      <c r="D399" s="255"/>
      <c r="E399" s="255"/>
      <c r="F399" s="242"/>
      <c r="G399" s="261"/>
      <c r="H399" s="261"/>
      <c r="I399" s="261"/>
      <c r="J399" s="248"/>
      <c r="K399" s="248"/>
      <c r="L399" s="261"/>
      <c r="M399" s="248"/>
      <c r="N399" s="248"/>
      <c r="O399" s="248"/>
      <c r="P399" s="248"/>
      <c r="Q399" s="248"/>
      <c r="R399" s="248"/>
      <c r="S399" s="248"/>
      <c r="T399" s="115" t="s">
        <v>476</v>
      </c>
      <c r="U399" s="102"/>
      <c r="V399" s="102"/>
      <c r="W399" s="96" t="s">
        <v>441</v>
      </c>
      <c r="X399" s="110">
        <v>0.6</v>
      </c>
      <c r="Y399" s="98"/>
      <c r="Z399" s="105"/>
      <c r="AA399" s="106"/>
      <c r="AB399" s="97"/>
      <c r="AC399" s="248"/>
      <c r="AD399" s="241"/>
      <c r="AE399" s="100"/>
    </row>
    <row r="400" spans="1:31" s="101" customFormat="1" ht="22.5" customHeight="1">
      <c r="A400" s="242"/>
      <c r="B400" s="265"/>
      <c r="C400" s="255"/>
      <c r="D400" s="255"/>
      <c r="E400" s="255"/>
      <c r="F400" s="242"/>
      <c r="G400" s="261"/>
      <c r="H400" s="261"/>
      <c r="I400" s="261"/>
      <c r="J400" s="248"/>
      <c r="K400" s="248"/>
      <c r="L400" s="261"/>
      <c r="M400" s="248"/>
      <c r="N400" s="248"/>
      <c r="O400" s="248"/>
      <c r="P400" s="248"/>
      <c r="Q400" s="248"/>
      <c r="R400" s="248"/>
      <c r="S400" s="248"/>
      <c r="T400" s="115" t="s">
        <v>477</v>
      </c>
      <c r="U400" s="109"/>
      <c r="V400" s="109"/>
      <c r="W400" s="96" t="s">
        <v>0</v>
      </c>
      <c r="X400" s="97">
        <v>80</v>
      </c>
      <c r="Y400" s="98"/>
      <c r="Z400" s="105"/>
      <c r="AA400" s="106"/>
      <c r="AB400" s="97"/>
      <c r="AC400" s="248"/>
      <c r="AD400" s="241"/>
      <c r="AE400" s="100"/>
    </row>
    <row r="401" spans="1:32" s="101" customFormat="1" ht="51.75" customHeight="1">
      <c r="A401" s="242"/>
      <c r="B401" s="265"/>
      <c r="C401" s="255"/>
      <c r="D401" s="255"/>
      <c r="E401" s="255"/>
      <c r="F401" s="242"/>
      <c r="G401" s="261"/>
      <c r="H401" s="261"/>
      <c r="I401" s="261"/>
      <c r="J401" s="248"/>
      <c r="K401" s="248"/>
      <c r="L401" s="261"/>
      <c r="M401" s="248"/>
      <c r="N401" s="248"/>
      <c r="O401" s="248"/>
      <c r="P401" s="248"/>
      <c r="Q401" s="248"/>
      <c r="R401" s="248"/>
      <c r="S401" s="248"/>
      <c r="T401" s="140" t="s">
        <v>415</v>
      </c>
      <c r="U401" s="102"/>
      <c r="V401" s="102"/>
      <c r="W401" s="96" t="s">
        <v>6</v>
      </c>
      <c r="X401" s="110">
        <v>40</v>
      </c>
      <c r="Y401" s="98"/>
      <c r="Z401" s="105"/>
      <c r="AA401" s="106"/>
      <c r="AB401" s="97"/>
      <c r="AC401" s="248"/>
      <c r="AD401" s="241"/>
      <c r="AE401" s="100"/>
    </row>
    <row r="402" spans="1:32" s="101" customFormat="1" ht="27" customHeight="1">
      <c r="A402" s="242"/>
      <c r="B402" s="265"/>
      <c r="C402" s="255"/>
      <c r="D402" s="255"/>
      <c r="E402" s="255"/>
      <c r="F402" s="242"/>
      <c r="G402" s="261"/>
      <c r="H402" s="261"/>
      <c r="I402" s="261"/>
      <c r="J402" s="248"/>
      <c r="K402" s="248"/>
      <c r="L402" s="261"/>
      <c r="M402" s="248"/>
      <c r="N402" s="248"/>
      <c r="O402" s="248"/>
      <c r="P402" s="248"/>
      <c r="Q402" s="248"/>
      <c r="R402" s="248"/>
      <c r="S402" s="248"/>
      <c r="T402" s="107" t="s">
        <v>416</v>
      </c>
      <c r="U402" s="102"/>
      <c r="V402" s="102"/>
      <c r="W402" s="96" t="s">
        <v>395</v>
      </c>
      <c r="X402" s="110">
        <v>1</v>
      </c>
      <c r="Y402" s="98"/>
      <c r="Z402" s="105"/>
      <c r="AA402" s="106"/>
      <c r="AB402" s="97"/>
      <c r="AC402" s="248"/>
      <c r="AD402" s="241"/>
      <c r="AE402" s="100"/>
    </row>
    <row r="403" spans="1:32" s="101" customFormat="1" ht="33.75" customHeight="1">
      <c r="A403" s="242"/>
      <c r="B403" s="265"/>
      <c r="C403" s="242">
        <v>64</v>
      </c>
      <c r="D403" s="242">
        <v>587</v>
      </c>
      <c r="E403" s="242">
        <v>410.8</v>
      </c>
      <c r="F403" s="242" t="s">
        <v>26</v>
      </c>
      <c r="G403" s="251">
        <v>408</v>
      </c>
      <c r="H403" s="262">
        <f>E403-G403</f>
        <v>2.8000000000000114</v>
      </c>
      <c r="I403" s="261"/>
      <c r="J403" s="248"/>
      <c r="K403" s="248"/>
      <c r="L403" s="261"/>
      <c r="M403" s="248"/>
      <c r="N403" s="248"/>
      <c r="O403" s="248"/>
      <c r="P403" s="248"/>
      <c r="Q403" s="248"/>
      <c r="R403" s="248"/>
      <c r="S403" s="248"/>
      <c r="T403" s="94" t="s">
        <v>480</v>
      </c>
      <c r="U403" s="97">
        <v>10</v>
      </c>
      <c r="V403" s="102">
        <f>(G403-X406)/U403</f>
        <v>28.8</v>
      </c>
      <c r="W403" s="96" t="s">
        <v>2</v>
      </c>
      <c r="X403" s="97">
        <v>15</v>
      </c>
      <c r="Y403" s="98"/>
      <c r="Z403" s="105"/>
      <c r="AA403" s="106"/>
      <c r="AB403" s="97"/>
      <c r="AC403" s="248">
        <f>SUM(AB403:AB407)</f>
        <v>12300000</v>
      </c>
      <c r="AD403" s="241"/>
      <c r="AE403" s="100" t="s">
        <v>419</v>
      </c>
    </row>
    <row r="404" spans="1:32" s="101" customFormat="1" ht="22.5" customHeight="1">
      <c r="A404" s="242"/>
      <c r="B404" s="265"/>
      <c r="C404" s="242"/>
      <c r="D404" s="242"/>
      <c r="E404" s="242"/>
      <c r="F404" s="242"/>
      <c r="G404" s="251"/>
      <c r="H404" s="262"/>
      <c r="I404" s="261"/>
      <c r="J404" s="248"/>
      <c r="K404" s="248"/>
      <c r="L404" s="261"/>
      <c r="M404" s="248"/>
      <c r="N404" s="248"/>
      <c r="O404" s="248"/>
      <c r="P404" s="248"/>
      <c r="Q404" s="248"/>
      <c r="R404" s="248"/>
      <c r="S404" s="248"/>
      <c r="T404" s="104" t="s">
        <v>399</v>
      </c>
      <c r="U404" s="102"/>
      <c r="V404" s="102"/>
      <c r="W404" s="96" t="s">
        <v>2</v>
      </c>
      <c r="X404" s="97">
        <v>15</v>
      </c>
      <c r="Y404" s="98">
        <v>240000</v>
      </c>
      <c r="Z404" s="105"/>
      <c r="AA404" s="106">
        <v>1</v>
      </c>
      <c r="AB404" s="97">
        <f t="shared" ref="AB404" si="40">X404*Y404*AA404</f>
        <v>3600000</v>
      </c>
      <c r="AC404" s="248"/>
      <c r="AD404" s="241"/>
      <c r="AE404" s="100"/>
    </row>
    <row r="405" spans="1:32" s="101" customFormat="1" ht="22.5" customHeight="1">
      <c r="A405" s="242"/>
      <c r="B405" s="265"/>
      <c r="C405" s="242"/>
      <c r="D405" s="242"/>
      <c r="E405" s="242"/>
      <c r="F405" s="242"/>
      <c r="G405" s="251"/>
      <c r="H405" s="262"/>
      <c r="I405" s="261"/>
      <c r="J405" s="248"/>
      <c r="K405" s="248"/>
      <c r="L405" s="261"/>
      <c r="M405" s="248"/>
      <c r="N405" s="248"/>
      <c r="O405" s="248"/>
      <c r="P405" s="248"/>
      <c r="Q405" s="248"/>
      <c r="R405" s="248"/>
      <c r="S405" s="248"/>
      <c r="T405" s="107" t="s">
        <v>475</v>
      </c>
      <c r="U405" s="102"/>
      <c r="V405" s="102"/>
      <c r="W405" s="96" t="s">
        <v>0</v>
      </c>
      <c r="X405" s="110">
        <v>290</v>
      </c>
      <c r="Y405" s="98">
        <v>30000</v>
      </c>
      <c r="Z405" s="105"/>
      <c r="AA405" s="106">
        <v>1</v>
      </c>
      <c r="AB405" s="97">
        <f t="shared" ref="AB405" si="41">X405*Y405*AA405</f>
        <v>8700000</v>
      </c>
      <c r="AC405" s="248"/>
      <c r="AD405" s="241"/>
      <c r="AE405" s="100"/>
    </row>
    <row r="406" spans="1:32" s="101" customFormat="1" ht="22.5" customHeight="1">
      <c r="A406" s="242"/>
      <c r="B406" s="265"/>
      <c r="C406" s="242"/>
      <c r="D406" s="242"/>
      <c r="E406" s="242"/>
      <c r="F406" s="242"/>
      <c r="G406" s="251"/>
      <c r="H406" s="262"/>
      <c r="I406" s="261"/>
      <c r="J406" s="248"/>
      <c r="K406" s="248"/>
      <c r="L406" s="261"/>
      <c r="M406" s="248"/>
      <c r="N406" s="248"/>
      <c r="O406" s="248"/>
      <c r="P406" s="248"/>
      <c r="Q406" s="248"/>
      <c r="R406" s="248"/>
      <c r="S406" s="248"/>
      <c r="T406" s="104" t="s">
        <v>424</v>
      </c>
      <c r="U406" s="102"/>
      <c r="V406" s="102"/>
      <c r="W406" s="96" t="s">
        <v>0</v>
      </c>
      <c r="X406" s="97">
        <v>120</v>
      </c>
      <c r="Y406" s="98"/>
      <c r="Z406" s="105"/>
      <c r="AA406" s="106"/>
      <c r="AB406" s="97"/>
      <c r="AC406" s="248"/>
      <c r="AD406" s="241"/>
      <c r="AE406" s="100"/>
    </row>
    <row r="407" spans="1:32" s="101" customFormat="1" ht="60" customHeight="1">
      <c r="A407" s="242"/>
      <c r="B407" s="265"/>
      <c r="C407" s="242"/>
      <c r="D407" s="242"/>
      <c r="E407" s="242"/>
      <c r="F407" s="242"/>
      <c r="G407" s="251"/>
      <c r="H407" s="262"/>
      <c r="I407" s="261"/>
      <c r="J407" s="248"/>
      <c r="K407" s="248"/>
      <c r="L407" s="261"/>
      <c r="M407" s="248"/>
      <c r="N407" s="248"/>
      <c r="O407" s="248"/>
      <c r="P407" s="248"/>
      <c r="Q407" s="248"/>
      <c r="R407" s="248"/>
      <c r="S407" s="248"/>
      <c r="T407" s="107" t="s">
        <v>425</v>
      </c>
      <c r="U407" s="102"/>
      <c r="V407" s="102"/>
      <c r="W407" s="96" t="s">
        <v>0</v>
      </c>
      <c r="X407" s="110">
        <v>81</v>
      </c>
      <c r="Y407" s="98"/>
      <c r="Z407" s="105"/>
      <c r="AA407" s="106"/>
      <c r="AB407" s="97"/>
      <c r="AC407" s="248"/>
      <c r="AD407" s="241"/>
      <c r="AE407" s="100"/>
    </row>
    <row r="408" spans="1:32" s="101" customFormat="1" ht="36.75" customHeight="1">
      <c r="A408" s="242">
        <v>37</v>
      </c>
      <c r="B408" s="265" t="s">
        <v>648</v>
      </c>
      <c r="C408" s="255">
        <v>64</v>
      </c>
      <c r="D408" s="255">
        <v>576</v>
      </c>
      <c r="E408" s="255">
        <v>400.6</v>
      </c>
      <c r="F408" s="255" t="s">
        <v>26</v>
      </c>
      <c r="G408" s="248">
        <v>432</v>
      </c>
      <c r="H408" s="261"/>
      <c r="I408" s="261">
        <v>400.6</v>
      </c>
      <c r="J408" s="248">
        <v>432</v>
      </c>
      <c r="K408" s="255"/>
      <c r="L408" s="256">
        <f>I408/J408*100</f>
        <v>92.731481481481481</v>
      </c>
      <c r="M408" s="248">
        <v>12</v>
      </c>
      <c r="N408" s="248">
        <v>2</v>
      </c>
      <c r="O408" s="248">
        <v>80000</v>
      </c>
      <c r="P408" s="248">
        <f>O408*I408</f>
        <v>32048000</v>
      </c>
      <c r="Q408" s="248">
        <f>P408*3</f>
        <v>96144000</v>
      </c>
      <c r="R408" s="248">
        <f>M408*N408*R6</f>
        <v>12240000</v>
      </c>
      <c r="S408" s="248">
        <f>SUM(P408:R412)</f>
        <v>140432000</v>
      </c>
      <c r="T408" s="94" t="s">
        <v>410</v>
      </c>
      <c r="U408" s="102">
        <v>25</v>
      </c>
      <c r="V408" s="102">
        <f>E408/U408</f>
        <v>16.024000000000001</v>
      </c>
      <c r="W408" s="152" t="s">
        <v>2</v>
      </c>
      <c r="X408" s="153">
        <v>16</v>
      </c>
      <c r="Y408" s="98"/>
      <c r="Z408" s="105"/>
      <c r="AA408" s="106"/>
      <c r="AB408" s="153"/>
      <c r="AC408" s="248">
        <f>SUM(AB408:AB412)</f>
        <v>87000000</v>
      </c>
      <c r="AD408" s="241">
        <f>S408+AC408</f>
        <v>227432000</v>
      </c>
      <c r="AE408" s="100" t="s">
        <v>482</v>
      </c>
    </row>
    <row r="409" spans="1:32" s="101" customFormat="1" ht="24.75" customHeight="1">
      <c r="A409" s="242"/>
      <c r="B409" s="265"/>
      <c r="C409" s="255"/>
      <c r="D409" s="255"/>
      <c r="E409" s="255"/>
      <c r="F409" s="255"/>
      <c r="G409" s="248"/>
      <c r="H409" s="261"/>
      <c r="I409" s="261"/>
      <c r="J409" s="248"/>
      <c r="K409" s="255"/>
      <c r="L409" s="256"/>
      <c r="M409" s="248"/>
      <c r="N409" s="248"/>
      <c r="O409" s="248"/>
      <c r="P409" s="248"/>
      <c r="Q409" s="248"/>
      <c r="R409" s="248"/>
      <c r="S409" s="248"/>
      <c r="T409" s="104" t="s">
        <v>399</v>
      </c>
      <c r="U409" s="102"/>
      <c r="V409" s="102"/>
      <c r="W409" s="152" t="s">
        <v>2</v>
      </c>
      <c r="X409" s="153">
        <v>16</v>
      </c>
      <c r="Y409" s="98">
        <v>4500000</v>
      </c>
      <c r="Z409" s="105"/>
      <c r="AA409" s="106">
        <v>1</v>
      </c>
      <c r="AB409" s="153">
        <f t="shared" ref="AB409:AB411" si="42">X409*Y409*AA409</f>
        <v>72000000</v>
      </c>
      <c r="AC409" s="248"/>
      <c r="AD409" s="241"/>
      <c r="AE409" s="100"/>
    </row>
    <row r="410" spans="1:32" s="101" customFormat="1" ht="37.5" customHeight="1">
      <c r="A410" s="242"/>
      <c r="B410" s="265"/>
      <c r="C410" s="255"/>
      <c r="D410" s="255"/>
      <c r="E410" s="255"/>
      <c r="F410" s="255"/>
      <c r="G410" s="248"/>
      <c r="H410" s="261"/>
      <c r="I410" s="261"/>
      <c r="J410" s="248"/>
      <c r="K410" s="255"/>
      <c r="L410" s="256"/>
      <c r="M410" s="248"/>
      <c r="N410" s="248"/>
      <c r="O410" s="248"/>
      <c r="P410" s="248"/>
      <c r="Q410" s="248"/>
      <c r="R410" s="248"/>
      <c r="S410" s="248"/>
      <c r="T410" s="94" t="s">
        <v>483</v>
      </c>
      <c r="U410" s="102">
        <v>20</v>
      </c>
      <c r="V410" s="102">
        <f>E408/U410</f>
        <v>20.03</v>
      </c>
      <c r="W410" s="152" t="s">
        <v>2</v>
      </c>
      <c r="X410" s="153">
        <v>20</v>
      </c>
      <c r="Y410" s="98"/>
      <c r="Z410" s="105"/>
      <c r="AA410" s="106"/>
      <c r="AB410" s="153"/>
      <c r="AC410" s="248"/>
      <c r="AD410" s="241"/>
      <c r="AE410" s="100"/>
    </row>
    <row r="411" spans="1:32" s="101" customFormat="1" ht="23.25" customHeight="1">
      <c r="A411" s="242"/>
      <c r="B411" s="265"/>
      <c r="C411" s="255"/>
      <c r="D411" s="255"/>
      <c r="E411" s="255"/>
      <c r="F411" s="255"/>
      <c r="G411" s="248"/>
      <c r="H411" s="261"/>
      <c r="I411" s="261"/>
      <c r="J411" s="248"/>
      <c r="K411" s="255"/>
      <c r="L411" s="256"/>
      <c r="M411" s="248"/>
      <c r="N411" s="248"/>
      <c r="O411" s="248"/>
      <c r="P411" s="248"/>
      <c r="Q411" s="248"/>
      <c r="R411" s="248"/>
      <c r="S411" s="248"/>
      <c r="T411" s="104" t="s">
        <v>399</v>
      </c>
      <c r="U411" s="102"/>
      <c r="V411" s="102"/>
      <c r="W411" s="152" t="s">
        <v>2</v>
      </c>
      <c r="X411" s="153">
        <v>20</v>
      </c>
      <c r="Y411" s="98">
        <v>2500000</v>
      </c>
      <c r="Z411" s="105"/>
      <c r="AA411" s="106">
        <v>0.3</v>
      </c>
      <c r="AB411" s="153">
        <f t="shared" si="42"/>
        <v>15000000</v>
      </c>
      <c r="AC411" s="248"/>
      <c r="AD411" s="241"/>
      <c r="AE411" s="100"/>
    </row>
    <row r="412" spans="1:32" s="101" customFormat="1" ht="24" customHeight="1">
      <c r="A412" s="242"/>
      <c r="B412" s="265"/>
      <c r="C412" s="255"/>
      <c r="D412" s="255"/>
      <c r="E412" s="255"/>
      <c r="F412" s="255"/>
      <c r="G412" s="248"/>
      <c r="H412" s="261"/>
      <c r="I412" s="261"/>
      <c r="J412" s="248"/>
      <c r="K412" s="255"/>
      <c r="L412" s="256"/>
      <c r="M412" s="248"/>
      <c r="N412" s="248"/>
      <c r="O412" s="248"/>
      <c r="P412" s="248"/>
      <c r="Q412" s="248"/>
      <c r="R412" s="248"/>
      <c r="S412" s="248"/>
      <c r="T412" s="115" t="s">
        <v>421</v>
      </c>
      <c r="U412" s="102"/>
      <c r="V412" s="102"/>
      <c r="W412" s="152" t="s">
        <v>441</v>
      </c>
      <c r="X412" s="154">
        <v>0.6</v>
      </c>
      <c r="Y412" s="98"/>
      <c r="Z412" s="105"/>
      <c r="AA412" s="106"/>
      <c r="AB412" s="153"/>
      <c r="AC412" s="248"/>
      <c r="AD412" s="241"/>
      <c r="AE412" s="100"/>
    </row>
    <row r="413" spans="1:32" s="101" customFormat="1" ht="34.5" customHeight="1">
      <c r="A413" s="242">
        <v>38</v>
      </c>
      <c r="B413" s="265" t="s">
        <v>647</v>
      </c>
      <c r="C413" s="255">
        <v>64</v>
      </c>
      <c r="D413" s="255">
        <v>495</v>
      </c>
      <c r="E413" s="255">
        <v>328.7</v>
      </c>
      <c r="F413" s="255" t="s">
        <v>26</v>
      </c>
      <c r="G413" s="248">
        <v>324</v>
      </c>
      <c r="H413" s="261">
        <f>E413-G413</f>
        <v>4.6999999999999886</v>
      </c>
      <c r="I413" s="251">
        <v>324</v>
      </c>
      <c r="J413" s="251">
        <v>324</v>
      </c>
      <c r="K413" s="116"/>
      <c r="L413" s="257">
        <f>I413/J413*100</f>
        <v>100</v>
      </c>
      <c r="M413" s="251">
        <v>12</v>
      </c>
      <c r="N413" s="251">
        <v>3</v>
      </c>
      <c r="O413" s="251">
        <v>80000</v>
      </c>
      <c r="P413" s="251">
        <f>O413*I413</f>
        <v>25920000</v>
      </c>
      <c r="Q413" s="251">
        <f>P413*3</f>
        <v>77760000</v>
      </c>
      <c r="R413" s="251">
        <f>M413*N413*R6</f>
        <v>18360000</v>
      </c>
      <c r="S413" s="251">
        <f>SUM(P413:R418)</f>
        <v>122040000</v>
      </c>
      <c r="T413" s="94" t="s">
        <v>410</v>
      </c>
      <c r="U413" s="102">
        <v>25</v>
      </c>
      <c r="V413" s="102">
        <f>I413/U413</f>
        <v>12.96</v>
      </c>
      <c r="W413" s="96" t="s">
        <v>2</v>
      </c>
      <c r="X413" s="97">
        <v>6</v>
      </c>
      <c r="Y413" s="98"/>
      <c r="Z413" s="105"/>
      <c r="AA413" s="106"/>
      <c r="AB413" s="97"/>
      <c r="AC413" s="248">
        <f>SUM(AB413:AB418)</f>
        <v>59725000</v>
      </c>
      <c r="AD413" s="241">
        <f>S413+AC413</f>
        <v>181765000</v>
      </c>
      <c r="AE413" s="100"/>
    </row>
    <row r="414" spans="1:32" s="101" customFormat="1" ht="21" customHeight="1">
      <c r="A414" s="242"/>
      <c r="B414" s="265"/>
      <c r="C414" s="255"/>
      <c r="D414" s="255"/>
      <c r="E414" s="255"/>
      <c r="F414" s="255"/>
      <c r="G414" s="248"/>
      <c r="H414" s="261"/>
      <c r="I414" s="251"/>
      <c r="J414" s="251"/>
      <c r="K414" s="116"/>
      <c r="L414" s="257"/>
      <c r="M414" s="251"/>
      <c r="N414" s="251"/>
      <c r="O414" s="251"/>
      <c r="P414" s="251"/>
      <c r="Q414" s="251"/>
      <c r="R414" s="251"/>
      <c r="S414" s="251"/>
      <c r="T414" s="104" t="s">
        <v>399</v>
      </c>
      <c r="U414" s="102"/>
      <c r="V414" s="102"/>
      <c r="W414" s="96" t="s">
        <v>2</v>
      </c>
      <c r="X414" s="97">
        <v>6</v>
      </c>
      <c r="Y414" s="98">
        <v>4500000</v>
      </c>
      <c r="Z414" s="105"/>
      <c r="AA414" s="106">
        <v>1</v>
      </c>
      <c r="AB414" s="97">
        <f t="shared" ref="AB414" si="43">X414*Y414*AA414</f>
        <v>27000000</v>
      </c>
      <c r="AC414" s="248"/>
      <c r="AD414" s="241"/>
      <c r="AE414" s="100"/>
    </row>
    <row r="415" spans="1:32" s="101" customFormat="1" ht="32.25" customHeight="1">
      <c r="A415" s="242"/>
      <c r="B415" s="265"/>
      <c r="C415" s="255"/>
      <c r="D415" s="255"/>
      <c r="E415" s="255"/>
      <c r="F415" s="255"/>
      <c r="G415" s="248"/>
      <c r="H415" s="261"/>
      <c r="I415" s="251"/>
      <c r="J415" s="251"/>
      <c r="K415" s="116"/>
      <c r="L415" s="257"/>
      <c r="M415" s="251"/>
      <c r="N415" s="251"/>
      <c r="O415" s="251"/>
      <c r="P415" s="251"/>
      <c r="Q415" s="251"/>
      <c r="R415" s="251"/>
      <c r="S415" s="251"/>
      <c r="T415" s="94" t="s">
        <v>409</v>
      </c>
      <c r="U415" s="102"/>
      <c r="V415" s="102"/>
      <c r="W415" s="96" t="s">
        <v>2</v>
      </c>
      <c r="X415" s="97">
        <v>10</v>
      </c>
      <c r="Y415" s="98"/>
      <c r="Z415" s="108"/>
      <c r="AA415" s="99"/>
      <c r="AB415" s="97"/>
      <c r="AC415" s="248"/>
      <c r="AD415" s="241"/>
      <c r="AE415" s="100"/>
      <c r="AF415" s="101" t="s">
        <v>683</v>
      </c>
    </row>
    <row r="416" spans="1:32" s="101" customFormat="1" ht="21.75" customHeight="1">
      <c r="A416" s="242"/>
      <c r="B416" s="265"/>
      <c r="C416" s="255"/>
      <c r="D416" s="255"/>
      <c r="E416" s="255"/>
      <c r="F416" s="255"/>
      <c r="G416" s="248"/>
      <c r="H416" s="261"/>
      <c r="I416" s="251"/>
      <c r="J416" s="251"/>
      <c r="K416" s="116"/>
      <c r="L416" s="257"/>
      <c r="M416" s="251"/>
      <c r="N416" s="251"/>
      <c r="O416" s="251"/>
      <c r="P416" s="251"/>
      <c r="Q416" s="251"/>
      <c r="R416" s="251"/>
      <c r="S416" s="251"/>
      <c r="T416" s="104" t="s">
        <v>399</v>
      </c>
      <c r="U416" s="102"/>
      <c r="V416" s="102"/>
      <c r="W416" s="96" t="s">
        <v>2</v>
      </c>
      <c r="X416" s="97">
        <v>7</v>
      </c>
      <c r="Y416" s="98">
        <v>3850000</v>
      </c>
      <c r="Z416" s="108"/>
      <c r="AA416" s="99">
        <v>1</v>
      </c>
      <c r="AB416" s="97">
        <f>X416*Y416*AA416</f>
        <v>26950000</v>
      </c>
      <c r="AC416" s="248"/>
      <c r="AD416" s="241"/>
      <c r="AE416" s="100"/>
    </row>
    <row r="417" spans="1:31" s="101" customFormat="1" ht="21.75" customHeight="1">
      <c r="A417" s="242"/>
      <c r="B417" s="265"/>
      <c r="C417" s="255"/>
      <c r="D417" s="255"/>
      <c r="E417" s="255"/>
      <c r="F417" s="255"/>
      <c r="G417" s="248"/>
      <c r="H417" s="261"/>
      <c r="I417" s="251"/>
      <c r="J417" s="251"/>
      <c r="K417" s="116"/>
      <c r="L417" s="257"/>
      <c r="M417" s="251"/>
      <c r="N417" s="251"/>
      <c r="O417" s="251"/>
      <c r="P417" s="251"/>
      <c r="Q417" s="251"/>
      <c r="R417" s="251"/>
      <c r="S417" s="251"/>
      <c r="T417" s="104" t="s">
        <v>401</v>
      </c>
      <c r="U417" s="102"/>
      <c r="V417" s="102">
        <f>0.3*V413</f>
        <v>3.8879999999999999</v>
      </c>
      <c r="W417" s="96" t="s">
        <v>2</v>
      </c>
      <c r="X417" s="97">
        <v>3</v>
      </c>
      <c r="Y417" s="98">
        <v>3850000</v>
      </c>
      <c r="Z417" s="105"/>
      <c r="AA417" s="106">
        <v>0.5</v>
      </c>
      <c r="AB417" s="97">
        <f t="shared" ref="AB417" si="44">X417*Y417*AA417</f>
        <v>5775000</v>
      </c>
      <c r="AC417" s="248"/>
      <c r="AD417" s="241"/>
      <c r="AE417" s="100"/>
    </row>
    <row r="418" spans="1:31" s="101" customFormat="1" ht="21.75" customHeight="1">
      <c r="A418" s="242"/>
      <c r="B418" s="265"/>
      <c r="C418" s="255"/>
      <c r="D418" s="255"/>
      <c r="E418" s="255"/>
      <c r="F418" s="255"/>
      <c r="G418" s="248"/>
      <c r="H418" s="261"/>
      <c r="I418" s="251"/>
      <c r="J418" s="251"/>
      <c r="K418" s="116"/>
      <c r="L418" s="257"/>
      <c r="M418" s="251"/>
      <c r="N418" s="251"/>
      <c r="O418" s="251"/>
      <c r="P418" s="251"/>
      <c r="Q418" s="251"/>
      <c r="R418" s="251"/>
      <c r="S418" s="251"/>
      <c r="T418" s="107" t="s">
        <v>473</v>
      </c>
      <c r="U418" s="102"/>
      <c r="V418" s="102"/>
      <c r="W418" s="96" t="s">
        <v>395</v>
      </c>
      <c r="X418" s="110">
        <v>1</v>
      </c>
      <c r="Y418" s="98"/>
      <c r="Z418" s="105"/>
      <c r="AA418" s="99"/>
      <c r="AB418" s="97"/>
      <c r="AC418" s="248"/>
      <c r="AD418" s="241"/>
      <c r="AE418" s="100"/>
    </row>
    <row r="419" spans="1:31" ht="27" customHeight="1">
      <c r="A419" s="27"/>
      <c r="B419" s="30" t="s">
        <v>436</v>
      </c>
      <c r="C419" s="85"/>
      <c r="D419" s="85"/>
      <c r="E419" s="86">
        <f>SUM(E9:E418)</f>
        <v>25243.799999999988</v>
      </c>
      <c r="F419" s="86"/>
      <c r="G419" s="86">
        <f t="shared" ref="G419:AD419" si="45">SUM(G9:G418)</f>
        <v>26073.4</v>
      </c>
      <c r="H419" s="86">
        <f t="shared" si="45"/>
        <v>528.59999999999991</v>
      </c>
      <c r="I419" s="86">
        <f t="shared" si="45"/>
        <v>25299.599999999999</v>
      </c>
      <c r="J419" s="86">
        <f t="shared" si="45"/>
        <v>41930.400000000001</v>
      </c>
      <c r="K419" s="86">
        <f t="shared" si="45"/>
        <v>30240</v>
      </c>
      <c r="L419" s="86"/>
      <c r="M419" s="86"/>
      <c r="N419" s="87">
        <f t="shared" si="45"/>
        <v>129</v>
      </c>
      <c r="O419" s="86"/>
      <c r="P419" s="28">
        <f t="shared" si="45"/>
        <v>2023968000</v>
      </c>
      <c r="Q419" s="28">
        <f t="shared" si="45"/>
        <v>6071904000</v>
      </c>
      <c r="R419" s="28">
        <f t="shared" si="45"/>
        <v>604860000</v>
      </c>
      <c r="S419" s="28">
        <f t="shared" si="45"/>
        <v>8700732000</v>
      </c>
      <c r="T419" s="86"/>
      <c r="U419" s="86"/>
      <c r="V419" s="86"/>
      <c r="W419" s="86"/>
      <c r="X419" s="86"/>
      <c r="Y419" s="86"/>
      <c r="Z419" s="86"/>
      <c r="AA419" s="86"/>
      <c r="AB419" s="86"/>
      <c r="AC419" s="28">
        <f t="shared" si="45"/>
        <v>4118767700</v>
      </c>
      <c r="AD419" s="28">
        <f t="shared" si="45"/>
        <v>12819499700</v>
      </c>
      <c r="AE419" s="26"/>
    </row>
    <row r="420" spans="1:31">
      <c r="AC420" s="89"/>
    </row>
    <row r="421" spans="1:31">
      <c r="P421" s="89"/>
      <c r="Q421" s="89"/>
      <c r="R421" s="89"/>
      <c r="S421" s="89"/>
    </row>
    <row r="422" spans="1:31" hidden="1">
      <c r="P422" s="89"/>
      <c r="Q422" s="89"/>
    </row>
    <row r="423" spans="1:31" hidden="1"/>
    <row r="424" spans="1:31" hidden="1">
      <c r="P424" s="89"/>
    </row>
    <row r="425" spans="1:31" hidden="1"/>
    <row r="427" spans="1:31">
      <c r="P427" s="89"/>
      <c r="Q427" s="89"/>
      <c r="R427" s="89"/>
      <c r="S427" s="89"/>
      <c r="T427" s="89"/>
      <c r="U427" s="89"/>
      <c r="V427" s="89"/>
      <c r="W427" s="89"/>
      <c r="X427" s="89"/>
      <c r="Y427" s="89"/>
      <c r="Z427" s="89"/>
      <c r="AA427" s="89"/>
      <c r="AB427" s="89"/>
      <c r="AC427" s="89"/>
      <c r="AD427" s="89"/>
    </row>
  </sheetData>
  <autoFilter ref="A7:AD419"/>
  <mergeCells count="820">
    <mergeCell ref="K322:K328"/>
    <mergeCell ref="K329:K339"/>
    <mergeCell ref="AD393:AD407"/>
    <mergeCell ref="AD366:AD391"/>
    <mergeCell ref="A1:AD2"/>
    <mergeCell ref="A322:A328"/>
    <mergeCell ref="A329:A339"/>
    <mergeCell ref="A340:A346"/>
    <mergeCell ref="I294:I299"/>
    <mergeCell ref="I300:I312"/>
    <mergeCell ref="I313:I317"/>
    <mergeCell ref="I318:I321"/>
    <mergeCell ref="I322:I328"/>
    <mergeCell ref="I329:I339"/>
    <mergeCell ref="I340:I346"/>
    <mergeCell ref="F329:F339"/>
    <mergeCell ref="F340:F346"/>
    <mergeCell ref="G294:G297"/>
    <mergeCell ref="G298:G299"/>
    <mergeCell ref="G300:G312"/>
    <mergeCell ref="G313:G317"/>
    <mergeCell ref="G318:G321"/>
    <mergeCell ref="G322:G328"/>
    <mergeCell ref="J322:J328"/>
    <mergeCell ref="J329:J339"/>
    <mergeCell ref="J340:J346"/>
    <mergeCell ref="A3:A5"/>
    <mergeCell ref="A294:A299"/>
    <mergeCell ref="A300:A312"/>
    <mergeCell ref="A313:A317"/>
    <mergeCell ref="A318:A321"/>
    <mergeCell ref="J294:J299"/>
    <mergeCell ref="J300:J312"/>
    <mergeCell ref="J313:J317"/>
    <mergeCell ref="J318:J321"/>
    <mergeCell ref="F294:F297"/>
    <mergeCell ref="F298:F299"/>
    <mergeCell ref="F300:F312"/>
    <mergeCell ref="F313:F317"/>
    <mergeCell ref="F318:F321"/>
    <mergeCell ref="B3:B5"/>
    <mergeCell ref="B300:B312"/>
    <mergeCell ref="B313:B317"/>
    <mergeCell ref="B318:B321"/>
    <mergeCell ref="C300:C312"/>
    <mergeCell ref="C313:C317"/>
    <mergeCell ref="C318:C321"/>
    <mergeCell ref="E294:E297"/>
    <mergeCell ref="E298:E299"/>
    <mergeCell ref="E300:E312"/>
    <mergeCell ref="E313:E317"/>
    <mergeCell ref="E318:E321"/>
    <mergeCell ref="B294:B299"/>
    <mergeCell ref="C3:K3"/>
    <mergeCell ref="F4:K4"/>
    <mergeCell ref="K294:K297"/>
    <mergeCell ref="K298:K299"/>
    <mergeCell ref="K300:K312"/>
    <mergeCell ref="K313:K317"/>
    <mergeCell ref="K318:K321"/>
    <mergeCell ref="J26:J35"/>
    <mergeCell ref="J69:J83"/>
    <mergeCell ref="J115:J118"/>
    <mergeCell ref="E160:E164"/>
    <mergeCell ref="F160:F164"/>
    <mergeCell ref="G160:G164"/>
    <mergeCell ref="H160:H164"/>
    <mergeCell ref="I160:I164"/>
    <mergeCell ref="C172:C173"/>
    <mergeCell ref="D172:D173"/>
    <mergeCell ref="E172:E173"/>
    <mergeCell ref="F172:F173"/>
    <mergeCell ref="B413:B418"/>
    <mergeCell ref="A408:A412"/>
    <mergeCell ref="A413:A418"/>
    <mergeCell ref="F347:F358"/>
    <mergeCell ref="C403:C407"/>
    <mergeCell ref="C408:C412"/>
    <mergeCell ref="C413:C418"/>
    <mergeCell ref="A347:A358"/>
    <mergeCell ref="A366:A391"/>
    <mergeCell ref="A393:A407"/>
    <mergeCell ref="A359:A365"/>
    <mergeCell ref="B359:B365"/>
    <mergeCell ref="C359:C362"/>
    <mergeCell ref="D359:D362"/>
    <mergeCell ref="E359:E362"/>
    <mergeCell ref="F359:F362"/>
    <mergeCell ref="B393:B407"/>
    <mergeCell ref="E393:E402"/>
    <mergeCell ref="F393:F402"/>
    <mergeCell ref="E363:E365"/>
    <mergeCell ref="D413:D418"/>
    <mergeCell ref="D347:D358"/>
    <mergeCell ref="D366:D376"/>
    <mergeCell ref="D377:D391"/>
    <mergeCell ref="B322:B328"/>
    <mergeCell ref="B329:B339"/>
    <mergeCell ref="B340:B346"/>
    <mergeCell ref="B347:B358"/>
    <mergeCell ref="B366:B391"/>
    <mergeCell ref="B408:B412"/>
    <mergeCell ref="C4:E4"/>
    <mergeCell ref="F322:F328"/>
    <mergeCell ref="C366:C376"/>
    <mergeCell ref="C377:C391"/>
    <mergeCell ref="C294:C297"/>
    <mergeCell ref="C298:C299"/>
    <mergeCell ref="C322:C328"/>
    <mergeCell ref="C329:C339"/>
    <mergeCell ref="C340:C346"/>
    <mergeCell ref="C347:C358"/>
    <mergeCell ref="D294:D297"/>
    <mergeCell ref="D298:D299"/>
    <mergeCell ref="D300:D312"/>
    <mergeCell ref="D313:D317"/>
    <mergeCell ref="D318:D321"/>
    <mergeCell ref="D322:D328"/>
    <mergeCell ref="D329:D339"/>
    <mergeCell ref="D340:D346"/>
    <mergeCell ref="D403:D407"/>
    <mergeCell ref="D408:D412"/>
    <mergeCell ref="C393:C402"/>
    <mergeCell ref="D393:D402"/>
    <mergeCell ref="C363:C365"/>
    <mergeCell ref="D363:D365"/>
    <mergeCell ref="E322:E328"/>
    <mergeCell ref="E329:E339"/>
    <mergeCell ref="E340:E346"/>
    <mergeCell ref="E347:E358"/>
    <mergeCell ref="H413:H418"/>
    <mergeCell ref="F366:F376"/>
    <mergeCell ref="F377:F391"/>
    <mergeCell ref="E413:E418"/>
    <mergeCell ref="G413:G418"/>
    <mergeCell ref="F403:F407"/>
    <mergeCell ref="F408:F412"/>
    <mergeCell ref="F413:F418"/>
    <mergeCell ref="E408:E412"/>
    <mergeCell ref="E366:E376"/>
    <mergeCell ref="E377:E391"/>
    <mergeCell ref="E403:E407"/>
    <mergeCell ref="H366:H376"/>
    <mergeCell ref="H377:H391"/>
    <mergeCell ref="H403:H407"/>
    <mergeCell ref="H408:H412"/>
    <mergeCell ref="G329:G339"/>
    <mergeCell ref="G340:G346"/>
    <mergeCell ref="G408:G412"/>
    <mergeCell ref="G347:G358"/>
    <mergeCell ref="G366:G376"/>
    <mergeCell ref="G377:G391"/>
    <mergeCell ref="G403:G407"/>
    <mergeCell ref="H294:H297"/>
    <mergeCell ref="H298:H299"/>
    <mergeCell ref="H300:H312"/>
    <mergeCell ref="H313:H317"/>
    <mergeCell ref="H318:H321"/>
    <mergeCell ref="H322:H328"/>
    <mergeCell ref="H329:H339"/>
    <mergeCell ref="H340:H346"/>
    <mergeCell ref="H347:H358"/>
    <mergeCell ref="G359:G362"/>
    <mergeCell ref="H359:H362"/>
    <mergeCell ref="G363:G365"/>
    <mergeCell ref="H363:H365"/>
    <mergeCell ref="G393:G402"/>
    <mergeCell ref="H393:H402"/>
    <mergeCell ref="K408:K412"/>
    <mergeCell ref="J347:J358"/>
    <mergeCell ref="J366:J391"/>
    <mergeCell ref="J393:J407"/>
    <mergeCell ref="J408:J412"/>
    <mergeCell ref="J413:J418"/>
    <mergeCell ref="I347:I358"/>
    <mergeCell ref="I366:I391"/>
    <mergeCell ref="I393:I407"/>
    <mergeCell ref="I408:I412"/>
    <mergeCell ref="I413:I418"/>
    <mergeCell ref="I359:I365"/>
    <mergeCell ref="J359:J365"/>
    <mergeCell ref="K359:K365"/>
    <mergeCell ref="K366:K391"/>
    <mergeCell ref="K393:K407"/>
    <mergeCell ref="L408:L412"/>
    <mergeCell ref="L413:L418"/>
    <mergeCell ref="L3:L5"/>
    <mergeCell ref="L294:L299"/>
    <mergeCell ref="L300:L312"/>
    <mergeCell ref="L313:L317"/>
    <mergeCell ref="L318:L321"/>
    <mergeCell ref="L322:L328"/>
    <mergeCell ref="L329:L339"/>
    <mergeCell ref="L340:L346"/>
    <mergeCell ref="L347:L358"/>
    <mergeCell ref="L359:L365"/>
    <mergeCell ref="L366:L391"/>
    <mergeCell ref="L393:L407"/>
    <mergeCell ref="L26:L35"/>
    <mergeCell ref="L69:L83"/>
    <mergeCell ref="L115:L118"/>
    <mergeCell ref="M413:M418"/>
    <mergeCell ref="M3:M5"/>
    <mergeCell ref="M294:M299"/>
    <mergeCell ref="M300:M312"/>
    <mergeCell ref="M313:M317"/>
    <mergeCell ref="M318:M321"/>
    <mergeCell ref="M322:M328"/>
    <mergeCell ref="M329:M339"/>
    <mergeCell ref="M340:M346"/>
    <mergeCell ref="M347:M358"/>
    <mergeCell ref="M366:M391"/>
    <mergeCell ref="M393:M407"/>
    <mergeCell ref="M408:M412"/>
    <mergeCell ref="M359:M365"/>
    <mergeCell ref="M26:M35"/>
    <mergeCell ref="M69:M83"/>
    <mergeCell ref="M115:M118"/>
    <mergeCell ref="M219:M232"/>
    <mergeCell ref="M255:M265"/>
    <mergeCell ref="M273:M279"/>
    <mergeCell ref="N3:N5"/>
    <mergeCell ref="N294:N299"/>
    <mergeCell ref="N300:N312"/>
    <mergeCell ref="N313:N317"/>
    <mergeCell ref="N318:N321"/>
    <mergeCell ref="N322:N328"/>
    <mergeCell ref="N329:N339"/>
    <mergeCell ref="N340:N346"/>
    <mergeCell ref="N347:N358"/>
    <mergeCell ref="N26:N35"/>
    <mergeCell ref="N69:N83"/>
    <mergeCell ref="N115:N118"/>
    <mergeCell ref="N219:N232"/>
    <mergeCell ref="N255:N265"/>
    <mergeCell ref="N273:N279"/>
    <mergeCell ref="N413:N418"/>
    <mergeCell ref="N366:N391"/>
    <mergeCell ref="N393:N407"/>
    <mergeCell ref="N408:N412"/>
    <mergeCell ref="O294:O299"/>
    <mergeCell ref="O300:O312"/>
    <mergeCell ref="O313:O317"/>
    <mergeCell ref="O318:O321"/>
    <mergeCell ref="O322:O328"/>
    <mergeCell ref="O329:O339"/>
    <mergeCell ref="O340:O346"/>
    <mergeCell ref="O347:O358"/>
    <mergeCell ref="O366:O391"/>
    <mergeCell ref="O393:O407"/>
    <mergeCell ref="O408:O412"/>
    <mergeCell ref="O413:O418"/>
    <mergeCell ref="N359:N365"/>
    <mergeCell ref="O359:O365"/>
    <mergeCell ref="Q413:Q418"/>
    <mergeCell ref="P300:P312"/>
    <mergeCell ref="P313:P317"/>
    <mergeCell ref="P318:P321"/>
    <mergeCell ref="P322:P328"/>
    <mergeCell ref="P329:P339"/>
    <mergeCell ref="P340:P346"/>
    <mergeCell ref="P347:P358"/>
    <mergeCell ref="P366:P391"/>
    <mergeCell ref="P393:P407"/>
    <mergeCell ref="P408:P412"/>
    <mergeCell ref="P413:P418"/>
    <mergeCell ref="Q300:Q312"/>
    <mergeCell ref="Q313:Q317"/>
    <mergeCell ref="Q318:Q321"/>
    <mergeCell ref="Q322:Q328"/>
    <mergeCell ref="Q329:Q339"/>
    <mergeCell ref="Q340:Q346"/>
    <mergeCell ref="Q347:Q358"/>
    <mergeCell ref="Q366:Q391"/>
    <mergeCell ref="Q408:Q412"/>
    <mergeCell ref="Q393:Q407"/>
    <mergeCell ref="S413:S418"/>
    <mergeCell ref="R413:R418"/>
    <mergeCell ref="R294:R299"/>
    <mergeCell ref="R300:R312"/>
    <mergeCell ref="R313:R317"/>
    <mergeCell ref="R318:R321"/>
    <mergeCell ref="R322:R328"/>
    <mergeCell ref="R329:R339"/>
    <mergeCell ref="R340:R346"/>
    <mergeCell ref="R347:R358"/>
    <mergeCell ref="R366:R391"/>
    <mergeCell ref="R393:R407"/>
    <mergeCell ref="R408:R412"/>
    <mergeCell ref="R359:R365"/>
    <mergeCell ref="S359:S365"/>
    <mergeCell ref="S408:S412"/>
    <mergeCell ref="AD3:AD5"/>
    <mergeCell ref="AD294:AD299"/>
    <mergeCell ref="AD300:AD312"/>
    <mergeCell ref="AD313:AD317"/>
    <mergeCell ref="AD318:AD321"/>
    <mergeCell ref="AD322:AD328"/>
    <mergeCell ref="AD329:AD339"/>
    <mergeCell ref="AD340:AD346"/>
    <mergeCell ref="AD347:AD358"/>
    <mergeCell ref="AD147:AD153"/>
    <mergeCell ref="AC408:AC412"/>
    <mergeCell ref="AC413:AC418"/>
    <mergeCell ref="AC294:AC297"/>
    <mergeCell ref="AC298:AC299"/>
    <mergeCell ref="AC300:AC312"/>
    <mergeCell ref="AC313:AC317"/>
    <mergeCell ref="AC318:AC321"/>
    <mergeCell ref="AC322:AC328"/>
    <mergeCell ref="AC329:AC339"/>
    <mergeCell ref="AC340:AC346"/>
    <mergeCell ref="AC347:AC358"/>
    <mergeCell ref="AC366:AC376"/>
    <mergeCell ref="AC377:AC391"/>
    <mergeCell ref="AC393:AC402"/>
    <mergeCell ref="AD413:AD418"/>
    <mergeCell ref="AD408:AD412"/>
    <mergeCell ref="F363:F365"/>
    <mergeCell ref="T3:AC4"/>
    <mergeCell ref="AF322:AF328"/>
    <mergeCell ref="AF329:AF339"/>
    <mergeCell ref="O3:S4"/>
    <mergeCell ref="AC403:AC407"/>
    <mergeCell ref="S294:S299"/>
    <mergeCell ref="S300:S312"/>
    <mergeCell ref="S313:S317"/>
    <mergeCell ref="S318:S321"/>
    <mergeCell ref="S322:S328"/>
    <mergeCell ref="S329:S339"/>
    <mergeCell ref="S340:S346"/>
    <mergeCell ref="S347:S358"/>
    <mergeCell ref="S366:S391"/>
    <mergeCell ref="S393:S407"/>
    <mergeCell ref="P294:P299"/>
    <mergeCell ref="Q294:Q299"/>
    <mergeCell ref="AC359:AC365"/>
    <mergeCell ref="P359:P365"/>
    <mergeCell ref="Q359:Q365"/>
    <mergeCell ref="AD359:AD365"/>
    <mergeCell ref="A9:A25"/>
    <mergeCell ref="B9:B25"/>
    <mergeCell ref="C9:C18"/>
    <mergeCell ref="D9:D18"/>
    <mergeCell ref="E9:E18"/>
    <mergeCell ref="F9:F18"/>
    <mergeCell ref="G9:G18"/>
    <mergeCell ref="H9:H18"/>
    <mergeCell ref="I9:I18"/>
    <mergeCell ref="AC9:AC18"/>
    <mergeCell ref="AD9:AD25"/>
    <mergeCell ref="AE9:AE11"/>
    <mergeCell ref="C19:C25"/>
    <mergeCell ref="D19:D25"/>
    <mergeCell ref="E19:E25"/>
    <mergeCell ref="F19:F25"/>
    <mergeCell ref="G19:G25"/>
    <mergeCell ref="H19:H25"/>
    <mergeCell ref="I19:I25"/>
    <mergeCell ref="AC19:AC25"/>
    <mergeCell ref="AE19:AE21"/>
    <mergeCell ref="J9:J25"/>
    <mergeCell ref="L9:L25"/>
    <mergeCell ref="M9:M25"/>
    <mergeCell ref="N9:N25"/>
    <mergeCell ref="O9:O25"/>
    <mergeCell ref="P9:P25"/>
    <mergeCell ref="Q9:Q25"/>
    <mergeCell ref="R9:R25"/>
    <mergeCell ref="S9:S25"/>
    <mergeCell ref="A26:A35"/>
    <mergeCell ref="B26:B35"/>
    <mergeCell ref="C26:C35"/>
    <mergeCell ref="D26:D35"/>
    <mergeCell ref="E26:E35"/>
    <mergeCell ref="F26:F35"/>
    <mergeCell ref="G26:G35"/>
    <mergeCell ref="H26:H35"/>
    <mergeCell ref="I26:I35"/>
    <mergeCell ref="O26:O35"/>
    <mergeCell ref="P26:P35"/>
    <mergeCell ref="Q26:Q35"/>
    <mergeCell ref="R26:R35"/>
    <mergeCell ref="S26:S35"/>
    <mergeCell ref="AC26:AC35"/>
    <mergeCell ref="AD26:AD35"/>
    <mergeCell ref="AE26:AE28"/>
    <mergeCell ref="A36:A45"/>
    <mergeCell ref="B36:B45"/>
    <mergeCell ref="C36:C45"/>
    <mergeCell ref="D36:D45"/>
    <mergeCell ref="E36:E45"/>
    <mergeCell ref="F36:F45"/>
    <mergeCell ref="G36:G45"/>
    <mergeCell ref="H36:H45"/>
    <mergeCell ref="I36:I45"/>
    <mergeCell ref="J36:J45"/>
    <mergeCell ref="L36:L45"/>
    <mergeCell ref="M36:M45"/>
    <mergeCell ref="N36:N45"/>
    <mergeCell ref="O36:O45"/>
    <mergeCell ref="P36:P45"/>
    <mergeCell ref="Q36:Q45"/>
    <mergeCell ref="R36:R45"/>
    <mergeCell ref="S36:S45"/>
    <mergeCell ref="AC36:AC45"/>
    <mergeCell ref="AD36:AD45"/>
    <mergeCell ref="AE36:AE38"/>
    <mergeCell ref="A46:A68"/>
    <mergeCell ref="B46:B68"/>
    <mergeCell ref="C46:C61"/>
    <mergeCell ref="D46:D61"/>
    <mergeCell ref="E46:E61"/>
    <mergeCell ref="F46:F61"/>
    <mergeCell ref="G46:G61"/>
    <mergeCell ref="H46:H61"/>
    <mergeCell ref="I46:I61"/>
    <mergeCell ref="AC46:AC61"/>
    <mergeCell ref="AD46:AD68"/>
    <mergeCell ref="AE46:AE48"/>
    <mergeCell ref="C62:C68"/>
    <mergeCell ref="D62:D68"/>
    <mergeCell ref="E62:E68"/>
    <mergeCell ref="F62:F68"/>
    <mergeCell ref="G62:G68"/>
    <mergeCell ref="H62:H68"/>
    <mergeCell ref="I62:I68"/>
    <mergeCell ref="AC62:AC68"/>
    <mergeCell ref="AE62:AE64"/>
    <mergeCell ref="J46:J68"/>
    <mergeCell ref="L46:L68"/>
    <mergeCell ref="M46:M68"/>
    <mergeCell ref="N46:N68"/>
    <mergeCell ref="O46:O68"/>
    <mergeCell ref="P46:P68"/>
    <mergeCell ref="Q46:Q68"/>
    <mergeCell ref="R46:R68"/>
    <mergeCell ref="S46:S68"/>
    <mergeCell ref="A69:A83"/>
    <mergeCell ref="B69:B83"/>
    <mergeCell ref="C69:C83"/>
    <mergeCell ref="D69:D83"/>
    <mergeCell ref="E69:E83"/>
    <mergeCell ref="F69:F83"/>
    <mergeCell ref="G69:G83"/>
    <mergeCell ref="H69:H83"/>
    <mergeCell ref="I69:I83"/>
    <mergeCell ref="O69:O83"/>
    <mergeCell ref="P69:P83"/>
    <mergeCell ref="Q69:Q83"/>
    <mergeCell ref="R69:R83"/>
    <mergeCell ref="S69:S83"/>
    <mergeCell ref="AC69:AC83"/>
    <mergeCell ref="AD69:AD83"/>
    <mergeCell ref="AE69:AE71"/>
    <mergeCell ref="A84:A114"/>
    <mergeCell ref="B84:B114"/>
    <mergeCell ref="C84:C99"/>
    <mergeCell ref="D84:D99"/>
    <mergeCell ref="E84:E99"/>
    <mergeCell ref="F84:F99"/>
    <mergeCell ref="G84:G99"/>
    <mergeCell ref="H84:H99"/>
    <mergeCell ref="I84:I99"/>
    <mergeCell ref="J84:J114"/>
    <mergeCell ref="L84:L114"/>
    <mergeCell ref="M84:M114"/>
    <mergeCell ref="N84:N114"/>
    <mergeCell ref="O84:O114"/>
    <mergeCell ref="P84:P114"/>
    <mergeCell ref="Q84:Q114"/>
    <mergeCell ref="R84:R114"/>
    <mergeCell ref="S84:S114"/>
    <mergeCell ref="AD84:AD114"/>
    <mergeCell ref="AE84:AE86"/>
    <mergeCell ref="AC85:AC99"/>
    <mergeCell ref="C100:C114"/>
    <mergeCell ref="D100:D114"/>
    <mergeCell ref="E100:E114"/>
    <mergeCell ref="F100:F114"/>
    <mergeCell ref="G100:G114"/>
    <mergeCell ref="H100:H114"/>
    <mergeCell ref="I100:I114"/>
    <mergeCell ref="AC100:AC114"/>
    <mergeCell ref="AE100:AE104"/>
    <mergeCell ref="A115:A118"/>
    <mergeCell ref="B115:B118"/>
    <mergeCell ref="C115:C118"/>
    <mergeCell ref="D115:D118"/>
    <mergeCell ref="E115:E118"/>
    <mergeCell ref="F115:F118"/>
    <mergeCell ref="G115:G118"/>
    <mergeCell ref="H115:H118"/>
    <mergeCell ref="I115:I118"/>
    <mergeCell ref="O115:O118"/>
    <mergeCell ref="P115:P118"/>
    <mergeCell ref="Q115:Q118"/>
    <mergeCell ref="R115:R118"/>
    <mergeCell ref="S115:S118"/>
    <mergeCell ref="AC115:AC118"/>
    <mergeCell ref="AD115:AD118"/>
    <mergeCell ref="AE115:AE117"/>
    <mergeCell ref="A119:A146"/>
    <mergeCell ref="B119:B146"/>
    <mergeCell ref="C119:C146"/>
    <mergeCell ref="D119:D146"/>
    <mergeCell ref="E119:E146"/>
    <mergeCell ref="F119:F146"/>
    <mergeCell ref="G119:G146"/>
    <mergeCell ref="H119:H146"/>
    <mergeCell ref="I119:I146"/>
    <mergeCell ref="J119:J146"/>
    <mergeCell ref="L119:L146"/>
    <mergeCell ref="M119:M146"/>
    <mergeCell ref="N119:N146"/>
    <mergeCell ref="O119:O146"/>
    <mergeCell ref="P119:P146"/>
    <mergeCell ref="Q119:Q146"/>
    <mergeCell ref="R119:R146"/>
    <mergeCell ref="S119:S146"/>
    <mergeCell ref="AC119:AC146"/>
    <mergeCell ref="AD119:AD146"/>
    <mergeCell ref="AE119:AE123"/>
    <mergeCell ref="A147:A153"/>
    <mergeCell ref="B147:B153"/>
    <mergeCell ref="C147:C153"/>
    <mergeCell ref="D147:D153"/>
    <mergeCell ref="E147:E153"/>
    <mergeCell ref="F147:F153"/>
    <mergeCell ref="G147:G153"/>
    <mergeCell ref="H147:H153"/>
    <mergeCell ref="I147:I153"/>
    <mergeCell ref="J147:J153"/>
    <mergeCell ref="L147:L153"/>
    <mergeCell ref="M147:M153"/>
    <mergeCell ref="N147:N153"/>
    <mergeCell ref="O147:O153"/>
    <mergeCell ref="P147:P153"/>
    <mergeCell ref="Q147:Q153"/>
    <mergeCell ref="R147:R153"/>
    <mergeCell ref="S147:S153"/>
    <mergeCell ref="AC147:AC153"/>
    <mergeCell ref="AE147:AE151"/>
    <mergeCell ref="A154:A171"/>
    <mergeCell ref="B154:B171"/>
    <mergeCell ref="C154:C159"/>
    <mergeCell ref="D154:D159"/>
    <mergeCell ref="E154:E159"/>
    <mergeCell ref="F154:F159"/>
    <mergeCell ref="G154:G159"/>
    <mergeCell ref="H154:H159"/>
    <mergeCell ref="I154:I159"/>
    <mergeCell ref="J154:J171"/>
    <mergeCell ref="L154:L171"/>
    <mergeCell ref="M154:M171"/>
    <mergeCell ref="N154:N171"/>
    <mergeCell ref="O154:O171"/>
    <mergeCell ref="P154:P171"/>
    <mergeCell ref="Q154:Q171"/>
    <mergeCell ref="R154:R171"/>
    <mergeCell ref="S154:S171"/>
    <mergeCell ref="AC154:AC159"/>
    <mergeCell ref="AD154:AD171"/>
    <mergeCell ref="AE154:AE155"/>
    <mergeCell ref="C160:C164"/>
    <mergeCell ref="D160:D164"/>
    <mergeCell ref="AC160:AC164"/>
    <mergeCell ref="AE160:AE161"/>
    <mergeCell ref="C165:C171"/>
    <mergeCell ref="D165:D171"/>
    <mergeCell ref="E165:E171"/>
    <mergeCell ref="F165:F171"/>
    <mergeCell ref="G165:G171"/>
    <mergeCell ref="H165:H171"/>
    <mergeCell ref="I165:I171"/>
    <mergeCell ref="AC165:AC171"/>
    <mergeCell ref="AE166:AE168"/>
    <mergeCell ref="H172:H173"/>
    <mergeCell ref="A175:A184"/>
    <mergeCell ref="B175:B184"/>
    <mergeCell ref="C175:C184"/>
    <mergeCell ref="D175:D184"/>
    <mergeCell ref="E175:E184"/>
    <mergeCell ref="F175:F184"/>
    <mergeCell ref="G175:G184"/>
    <mergeCell ref="H175:H184"/>
    <mergeCell ref="I175:I184"/>
    <mergeCell ref="J175:J184"/>
    <mergeCell ref="L175:L184"/>
    <mergeCell ref="M175:M184"/>
    <mergeCell ref="N175:N184"/>
    <mergeCell ref="O175:O184"/>
    <mergeCell ref="P175:P184"/>
    <mergeCell ref="Q175:Q184"/>
    <mergeCell ref="R175:R184"/>
    <mergeCell ref="S175:S184"/>
    <mergeCell ref="AC175:AC184"/>
    <mergeCell ref="AD175:AD184"/>
    <mergeCell ref="AE175:AE180"/>
    <mergeCell ref="A185:A191"/>
    <mergeCell ref="B185:B191"/>
    <mergeCell ref="C185:C191"/>
    <mergeCell ref="D185:D191"/>
    <mergeCell ref="E185:E191"/>
    <mergeCell ref="F185:F191"/>
    <mergeCell ref="G185:G191"/>
    <mergeCell ref="H185:H191"/>
    <mergeCell ref="I185:I191"/>
    <mergeCell ref="J185:J191"/>
    <mergeCell ref="L185:L191"/>
    <mergeCell ref="M185:M191"/>
    <mergeCell ref="N185:N191"/>
    <mergeCell ref="O185:O191"/>
    <mergeCell ref="P185:P191"/>
    <mergeCell ref="Q185:Q191"/>
    <mergeCell ref="R185:R191"/>
    <mergeCell ref="S185:S191"/>
    <mergeCell ref="AC185:AC191"/>
    <mergeCell ref="AD185:AD191"/>
    <mergeCell ref="AE185:AE189"/>
    <mergeCell ref="A192:A204"/>
    <mergeCell ref="B192:B204"/>
    <mergeCell ref="I192:I204"/>
    <mergeCell ref="J192:J204"/>
    <mergeCell ref="L192:L204"/>
    <mergeCell ref="M192:M204"/>
    <mergeCell ref="N192:N204"/>
    <mergeCell ref="O192:O204"/>
    <mergeCell ref="P192:P204"/>
    <mergeCell ref="Q192:Q204"/>
    <mergeCell ref="R192:R204"/>
    <mergeCell ref="S192:S204"/>
    <mergeCell ref="AC192:AC204"/>
    <mergeCell ref="AD192:AD204"/>
    <mergeCell ref="AE192:AE194"/>
    <mergeCell ref="A205:A218"/>
    <mergeCell ref="B205:B218"/>
    <mergeCell ref="C205:C209"/>
    <mergeCell ref="D205:D209"/>
    <mergeCell ref="E205:E209"/>
    <mergeCell ref="F205:F209"/>
    <mergeCell ref="G205:G209"/>
    <mergeCell ref="H205:H209"/>
    <mergeCell ref="I205:I209"/>
    <mergeCell ref="AC205:AC209"/>
    <mergeCell ref="AD205:AD218"/>
    <mergeCell ref="AE205:AE207"/>
    <mergeCell ref="C210:C218"/>
    <mergeCell ref="D210:D218"/>
    <mergeCell ref="E210:E218"/>
    <mergeCell ref="F210:F218"/>
    <mergeCell ref="G210:G218"/>
    <mergeCell ref="H210:H218"/>
    <mergeCell ref="I210:I218"/>
    <mergeCell ref="AC210:AC218"/>
    <mergeCell ref="AE210:AE214"/>
    <mergeCell ref="J205:J218"/>
    <mergeCell ref="L205:L218"/>
    <mergeCell ref="M205:M218"/>
    <mergeCell ref="N205:N218"/>
    <mergeCell ref="O205:O218"/>
    <mergeCell ref="P205:P218"/>
    <mergeCell ref="Q205:Q218"/>
    <mergeCell ref="R205:R218"/>
    <mergeCell ref="S205:S218"/>
    <mergeCell ref="O219:O232"/>
    <mergeCell ref="P219:P232"/>
    <mergeCell ref="Q219:Q232"/>
    <mergeCell ref="R219:R232"/>
    <mergeCell ref="S219:S232"/>
    <mergeCell ref="A219:A232"/>
    <mergeCell ref="B219:B232"/>
    <mergeCell ref="C219:C232"/>
    <mergeCell ref="D219:D232"/>
    <mergeCell ref="E219:E232"/>
    <mergeCell ref="F219:F232"/>
    <mergeCell ref="G219:G232"/>
    <mergeCell ref="H219:H232"/>
    <mergeCell ref="I219:I232"/>
    <mergeCell ref="AC219:AC232"/>
    <mergeCell ref="AD219:AD232"/>
    <mergeCell ref="A233:A248"/>
    <mergeCell ref="B233:B248"/>
    <mergeCell ref="C233:C248"/>
    <mergeCell ref="D233:D248"/>
    <mergeCell ref="E233:E248"/>
    <mergeCell ref="F233:F248"/>
    <mergeCell ref="G233:G248"/>
    <mergeCell ref="H233:H248"/>
    <mergeCell ref="I233:I248"/>
    <mergeCell ref="J233:J248"/>
    <mergeCell ref="L233:L248"/>
    <mergeCell ref="M233:M248"/>
    <mergeCell ref="N233:N248"/>
    <mergeCell ref="O233:O248"/>
    <mergeCell ref="P233:P248"/>
    <mergeCell ref="Q233:Q248"/>
    <mergeCell ref="R233:R248"/>
    <mergeCell ref="S233:S248"/>
    <mergeCell ref="AC233:AC248"/>
    <mergeCell ref="AD233:AD248"/>
    <mergeCell ref="J219:J232"/>
    <mergeCell ref="L219:L232"/>
    <mergeCell ref="AE233:AE235"/>
    <mergeCell ref="A249:A254"/>
    <mergeCell ref="B249:B254"/>
    <mergeCell ref="C249:C254"/>
    <mergeCell ref="D249:D254"/>
    <mergeCell ref="E249:E254"/>
    <mergeCell ref="F249:F254"/>
    <mergeCell ref="G249:G254"/>
    <mergeCell ref="H249:H254"/>
    <mergeCell ref="I249:I254"/>
    <mergeCell ref="J249:J254"/>
    <mergeCell ref="L249:L254"/>
    <mergeCell ref="M249:M254"/>
    <mergeCell ref="N249:N254"/>
    <mergeCell ref="O249:O254"/>
    <mergeCell ref="P249:P254"/>
    <mergeCell ref="Q249:Q254"/>
    <mergeCell ref="R249:R254"/>
    <mergeCell ref="S249:S254"/>
    <mergeCell ref="AC249:AC254"/>
    <mergeCell ref="AD249:AD254"/>
    <mergeCell ref="O255:O265"/>
    <mergeCell ref="P255:P265"/>
    <mergeCell ref="Q255:Q265"/>
    <mergeCell ref="R255:R265"/>
    <mergeCell ref="S255:S265"/>
    <mergeCell ref="A255:A265"/>
    <mergeCell ref="B255:B265"/>
    <mergeCell ref="C255:C265"/>
    <mergeCell ref="D255:D265"/>
    <mergeCell ref="E255:E265"/>
    <mergeCell ref="F255:F265"/>
    <mergeCell ref="G255:G265"/>
    <mergeCell ref="H255:H265"/>
    <mergeCell ref="I255:I265"/>
    <mergeCell ref="AC255:AC265"/>
    <mergeCell ref="AD255:AD265"/>
    <mergeCell ref="A266:A272"/>
    <mergeCell ref="B266:B272"/>
    <mergeCell ref="C266:C272"/>
    <mergeCell ref="D266:D272"/>
    <mergeCell ref="E266:E272"/>
    <mergeCell ref="F266:F272"/>
    <mergeCell ref="G266:G272"/>
    <mergeCell ref="H266:H272"/>
    <mergeCell ref="I266:I272"/>
    <mergeCell ref="J266:J272"/>
    <mergeCell ref="L266:L272"/>
    <mergeCell ref="M266:M272"/>
    <mergeCell ref="N266:N272"/>
    <mergeCell ref="O266:O272"/>
    <mergeCell ref="P266:P272"/>
    <mergeCell ref="Q266:Q272"/>
    <mergeCell ref="R266:R272"/>
    <mergeCell ref="S266:S272"/>
    <mergeCell ref="AC266:AC272"/>
    <mergeCell ref="AD266:AD272"/>
    <mergeCell ref="J255:J265"/>
    <mergeCell ref="L255:L265"/>
    <mergeCell ref="O273:O279"/>
    <mergeCell ref="P273:P279"/>
    <mergeCell ref="Q273:Q279"/>
    <mergeCell ref="R273:R279"/>
    <mergeCell ref="S273:S279"/>
    <mergeCell ref="A273:A279"/>
    <mergeCell ref="B273:B279"/>
    <mergeCell ref="C273:C279"/>
    <mergeCell ref="D273:D279"/>
    <mergeCell ref="E273:E279"/>
    <mergeCell ref="F273:F279"/>
    <mergeCell ref="G273:G279"/>
    <mergeCell ref="H273:H279"/>
    <mergeCell ref="I273:I279"/>
    <mergeCell ref="AC273:AC279"/>
    <mergeCell ref="AD273:AD279"/>
    <mergeCell ref="A280:A285"/>
    <mergeCell ref="B280:B285"/>
    <mergeCell ref="C280:C285"/>
    <mergeCell ref="D280:D285"/>
    <mergeCell ref="E280:E285"/>
    <mergeCell ref="F280:F285"/>
    <mergeCell ref="G280:G285"/>
    <mergeCell ref="H280:H285"/>
    <mergeCell ref="I280:I285"/>
    <mergeCell ref="J280:J285"/>
    <mergeCell ref="L280:L285"/>
    <mergeCell ref="M280:M285"/>
    <mergeCell ref="N280:N285"/>
    <mergeCell ref="O280:O285"/>
    <mergeCell ref="P280:P285"/>
    <mergeCell ref="Q280:Q285"/>
    <mergeCell ref="R280:R285"/>
    <mergeCell ref="S280:S285"/>
    <mergeCell ref="AC280:AC285"/>
    <mergeCell ref="AD280:AD285"/>
    <mergeCell ref="J273:J279"/>
    <mergeCell ref="L273:L279"/>
    <mergeCell ref="A286:A292"/>
    <mergeCell ref="B286:B292"/>
    <mergeCell ref="C286:C292"/>
    <mergeCell ref="D286:D292"/>
    <mergeCell ref="E286:E292"/>
    <mergeCell ref="F286:F292"/>
    <mergeCell ref="G286:G292"/>
    <mergeCell ref="H286:H292"/>
    <mergeCell ref="I286:I292"/>
    <mergeCell ref="AC286:AC292"/>
    <mergeCell ref="AD286:AD292"/>
    <mergeCell ref="J286:J292"/>
    <mergeCell ref="L286:L292"/>
    <mergeCell ref="M286:M292"/>
    <mergeCell ref="N286:N292"/>
    <mergeCell ref="O286:O292"/>
    <mergeCell ref="P286:P292"/>
    <mergeCell ref="Q286:Q292"/>
    <mergeCell ref="R286:R292"/>
    <mergeCell ref="S286:S292"/>
  </mergeCells>
  <pageMargins left="0.45" right="0.2" top="0.5" bottom="0.5" header="0.3" footer="0.3"/>
  <pageSetup paperSize="8"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U419"/>
  <sheetViews>
    <sheetView tabSelected="1" zoomScale="85" zoomScaleNormal="85" workbookViewId="0">
      <pane xSplit="3" ySplit="8" topLeftCell="D9" activePane="bottomRight" state="frozen"/>
      <selection pane="topRight"/>
      <selection pane="bottomLeft"/>
      <selection pane="bottomRight" activeCell="L10" sqref="L10:L26"/>
    </sheetView>
  </sheetViews>
  <sheetFormatPr defaultColWidth="9" defaultRowHeight="15"/>
  <cols>
    <col min="1" max="1" width="5.42578125" style="177" customWidth="1"/>
    <col min="2" max="2" width="26.140625" style="88" customWidth="1"/>
    <col min="3" max="3" width="5.42578125" style="2" customWidth="1"/>
    <col min="4" max="4" width="6.42578125" style="2" customWidth="1"/>
    <col min="5" max="5" width="9.5703125" style="177" customWidth="1"/>
    <col min="6" max="6" width="6.42578125" style="177" customWidth="1"/>
    <col min="7" max="7" width="9.5703125" style="177" customWidth="1"/>
    <col min="8" max="8" width="8.5703125" style="177" customWidth="1"/>
    <col min="9" max="9" width="10" style="323" customWidth="1"/>
    <col min="10" max="10" width="10.5703125" style="177" customWidth="1"/>
    <col min="11" max="11" width="6.5703125" style="177" hidden="1" customWidth="1"/>
    <col min="12" max="12" width="8.140625" style="177" customWidth="1"/>
    <col min="13" max="13" width="8.42578125" style="177" customWidth="1"/>
    <col min="14" max="14" width="7.5703125" style="177" customWidth="1"/>
    <col min="15" max="15" width="8.42578125" style="177" customWidth="1"/>
    <col min="16" max="17" width="15.42578125" style="177" customWidth="1"/>
    <col min="18" max="18" width="14.85546875" style="177" customWidth="1"/>
    <col min="19" max="19" width="15.140625" style="177" customWidth="1"/>
    <col min="20" max="20" width="38.5703125" style="2" customWidth="1"/>
    <col min="21" max="21" width="9.42578125" style="177" hidden="1" customWidth="1"/>
    <col min="22" max="22" width="10.140625" style="177" hidden="1" customWidth="1"/>
    <col min="23" max="23" width="11.85546875" style="177" customWidth="1"/>
    <col min="24" max="24" width="8.7109375" style="2" customWidth="1"/>
    <col min="25" max="25" width="11.140625" style="177" customWidth="1"/>
    <col min="26" max="26" width="13.28515625" style="2" hidden="1" customWidth="1"/>
    <col min="27" max="27" width="9.7109375" style="2" customWidth="1"/>
    <col min="28" max="28" width="13.42578125" style="2" customWidth="1"/>
    <col min="29" max="29" width="15" style="177" customWidth="1"/>
    <col min="30" max="30" width="15.85546875" style="90" customWidth="1"/>
    <col min="31" max="31" width="16.140625" style="2" customWidth="1"/>
    <col min="32" max="32" width="16" style="2" hidden="1" customWidth="1"/>
    <col min="33" max="37" width="0" style="2" hidden="1" customWidth="1"/>
    <col min="38" max="38" width="12.7109375" style="2" customWidth="1"/>
    <col min="39" max="16384" width="9" style="2"/>
  </cols>
  <sheetData>
    <row r="1" spans="1:255" ht="16.5">
      <c r="A1" s="272"/>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row>
    <row r="2" spans="1:255" ht="32.25" customHeight="1">
      <c r="A2" s="270" t="s">
        <v>728</v>
      </c>
      <c r="B2" s="270"/>
      <c r="C2" s="270"/>
      <c r="D2" s="270"/>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row>
    <row r="3" spans="1:255" ht="32.25" customHeight="1">
      <c r="A3" s="271"/>
      <c r="B3" s="271"/>
      <c r="C3" s="271"/>
      <c r="D3" s="271"/>
      <c r="E3" s="271"/>
      <c r="F3" s="271"/>
      <c r="G3" s="271"/>
      <c r="H3" s="271"/>
      <c r="I3" s="271"/>
      <c r="J3" s="271"/>
      <c r="K3" s="271"/>
      <c r="L3" s="271"/>
      <c r="M3" s="271"/>
      <c r="N3" s="271"/>
      <c r="O3" s="271"/>
      <c r="P3" s="271"/>
      <c r="Q3" s="271"/>
      <c r="R3" s="271"/>
      <c r="S3" s="271"/>
      <c r="T3" s="271"/>
      <c r="U3" s="271"/>
      <c r="V3" s="271"/>
      <c r="W3" s="271"/>
      <c r="X3" s="271"/>
      <c r="Y3" s="271"/>
      <c r="Z3" s="271"/>
      <c r="AA3" s="271"/>
      <c r="AB3" s="271"/>
      <c r="AC3" s="271"/>
      <c r="AD3" s="271"/>
    </row>
    <row r="4" spans="1:255" s="205" customFormat="1" ht="21.75" customHeight="1">
      <c r="A4" s="273" t="s">
        <v>4</v>
      </c>
      <c r="B4" s="273" t="s">
        <v>434</v>
      </c>
      <c r="C4" s="273" t="s">
        <v>375</v>
      </c>
      <c r="D4" s="273"/>
      <c r="E4" s="273"/>
      <c r="F4" s="273"/>
      <c r="G4" s="273"/>
      <c r="H4" s="273"/>
      <c r="I4" s="273"/>
      <c r="J4" s="273"/>
      <c r="K4" s="273"/>
      <c r="L4" s="273" t="s">
        <v>376</v>
      </c>
      <c r="M4" s="274" t="s">
        <v>377</v>
      </c>
      <c r="N4" s="274" t="s">
        <v>18</v>
      </c>
      <c r="O4" s="273" t="s">
        <v>378</v>
      </c>
      <c r="P4" s="273"/>
      <c r="Q4" s="273"/>
      <c r="R4" s="273"/>
      <c r="S4" s="273"/>
      <c r="T4" s="273" t="s">
        <v>379</v>
      </c>
      <c r="U4" s="273"/>
      <c r="V4" s="273"/>
      <c r="W4" s="273"/>
      <c r="X4" s="273"/>
      <c r="Y4" s="273"/>
      <c r="Z4" s="273"/>
      <c r="AA4" s="273"/>
      <c r="AB4" s="273"/>
      <c r="AC4" s="273"/>
      <c r="AD4" s="273" t="s">
        <v>380</v>
      </c>
      <c r="AE4" s="296" t="s">
        <v>677</v>
      </c>
    </row>
    <row r="5" spans="1:255" s="205" customFormat="1" ht="28.5" customHeight="1">
      <c r="A5" s="273"/>
      <c r="B5" s="273"/>
      <c r="C5" s="273" t="s">
        <v>381</v>
      </c>
      <c r="D5" s="273"/>
      <c r="E5" s="273"/>
      <c r="F5" s="273" t="s">
        <v>382</v>
      </c>
      <c r="G5" s="273"/>
      <c r="H5" s="273"/>
      <c r="I5" s="273"/>
      <c r="J5" s="273"/>
      <c r="K5" s="273"/>
      <c r="L5" s="273"/>
      <c r="M5" s="274"/>
      <c r="N5" s="274"/>
      <c r="O5" s="273"/>
      <c r="P5" s="273"/>
      <c r="Q5" s="273"/>
      <c r="R5" s="273"/>
      <c r="S5" s="273"/>
      <c r="T5" s="273"/>
      <c r="U5" s="273"/>
      <c r="V5" s="273"/>
      <c r="W5" s="273"/>
      <c r="X5" s="273"/>
      <c r="Y5" s="273"/>
      <c r="Z5" s="273"/>
      <c r="AA5" s="273"/>
      <c r="AB5" s="273"/>
      <c r="AC5" s="273"/>
      <c r="AD5" s="273"/>
      <c r="AE5" s="296"/>
    </row>
    <row r="6" spans="1:255" s="205" customFormat="1" ht="96.75" customHeight="1">
      <c r="A6" s="273"/>
      <c r="B6" s="273"/>
      <c r="C6" s="206" t="s">
        <v>11</v>
      </c>
      <c r="D6" s="206" t="s">
        <v>12</v>
      </c>
      <c r="E6" s="206" t="s">
        <v>440</v>
      </c>
      <c r="F6" s="206" t="s">
        <v>14</v>
      </c>
      <c r="G6" s="207" t="s">
        <v>439</v>
      </c>
      <c r="H6" s="208" t="s">
        <v>438</v>
      </c>
      <c r="I6" s="305" t="s">
        <v>383</v>
      </c>
      <c r="J6" s="207" t="s">
        <v>437</v>
      </c>
      <c r="K6" s="206" t="s">
        <v>17</v>
      </c>
      <c r="L6" s="273"/>
      <c r="M6" s="274"/>
      <c r="N6" s="274"/>
      <c r="O6" s="207" t="s">
        <v>384</v>
      </c>
      <c r="P6" s="207" t="s">
        <v>385</v>
      </c>
      <c r="Q6" s="207" t="s">
        <v>386</v>
      </c>
      <c r="R6" s="207" t="s">
        <v>387</v>
      </c>
      <c r="S6" s="207" t="s">
        <v>388</v>
      </c>
      <c r="T6" s="206" t="s">
        <v>19</v>
      </c>
      <c r="U6" s="206" t="s">
        <v>397</v>
      </c>
      <c r="V6" s="206" t="s">
        <v>433</v>
      </c>
      <c r="W6" s="206" t="s">
        <v>20</v>
      </c>
      <c r="X6" s="207" t="s">
        <v>21</v>
      </c>
      <c r="Y6" s="207" t="s">
        <v>5</v>
      </c>
      <c r="Z6" s="206" t="s">
        <v>22</v>
      </c>
      <c r="AA6" s="206" t="s">
        <v>23</v>
      </c>
      <c r="AB6" s="207" t="s">
        <v>389</v>
      </c>
      <c r="AC6" s="207" t="s">
        <v>390</v>
      </c>
      <c r="AD6" s="273"/>
      <c r="AE6" s="297"/>
    </row>
    <row r="7" spans="1:255" ht="14.25" customHeight="1">
      <c r="A7" s="164"/>
      <c r="B7" s="30"/>
      <c r="C7" s="164"/>
      <c r="D7" s="164"/>
      <c r="E7" s="164"/>
      <c r="F7" s="164"/>
      <c r="G7" s="169"/>
      <c r="H7" s="29"/>
      <c r="I7" s="306"/>
      <c r="J7" s="161"/>
      <c r="K7" s="164"/>
      <c r="L7" s="164"/>
      <c r="M7" s="169"/>
      <c r="N7" s="169"/>
      <c r="O7" s="169">
        <v>80000</v>
      </c>
      <c r="P7" s="169"/>
      <c r="Q7" s="169">
        <f>O7*3</f>
        <v>240000</v>
      </c>
      <c r="R7" s="169">
        <f>17000*30</f>
        <v>510000</v>
      </c>
      <c r="S7" s="169"/>
      <c r="T7" s="30"/>
      <c r="U7" s="164"/>
      <c r="V7" s="164"/>
      <c r="W7" s="164"/>
      <c r="X7" s="169"/>
      <c r="Y7" s="169"/>
      <c r="Z7" s="164"/>
      <c r="AA7" s="164"/>
      <c r="AB7" s="169"/>
      <c r="AC7" s="169"/>
      <c r="AD7" s="164"/>
      <c r="AE7" s="26"/>
    </row>
    <row r="8" spans="1:255" s="157" customFormat="1" ht="22.5" customHeight="1">
      <c r="A8" s="164">
        <v>1</v>
      </c>
      <c r="B8" s="164">
        <v>2</v>
      </c>
      <c r="C8" s="164">
        <v>3</v>
      </c>
      <c r="D8" s="164">
        <v>4</v>
      </c>
      <c r="E8" s="164">
        <v>5</v>
      </c>
      <c r="F8" s="164">
        <v>6</v>
      </c>
      <c r="G8" s="169">
        <v>7</v>
      </c>
      <c r="H8" s="169">
        <v>8</v>
      </c>
      <c r="I8" s="306">
        <v>9</v>
      </c>
      <c r="J8" s="161">
        <v>10</v>
      </c>
      <c r="K8" s="164"/>
      <c r="L8" s="164">
        <v>11</v>
      </c>
      <c r="M8" s="169">
        <v>12</v>
      </c>
      <c r="N8" s="169">
        <v>13</v>
      </c>
      <c r="O8" s="169">
        <v>14</v>
      </c>
      <c r="P8" s="169">
        <v>15</v>
      </c>
      <c r="Q8" s="169">
        <v>16</v>
      </c>
      <c r="R8" s="169">
        <v>17</v>
      </c>
      <c r="S8" s="169">
        <v>18</v>
      </c>
      <c r="T8" s="164">
        <v>19</v>
      </c>
      <c r="U8" s="164"/>
      <c r="V8" s="164"/>
      <c r="W8" s="164">
        <v>20</v>
      </c>
      <c r="X8" s="169">
        <v>21</v>
      </c>
      <c r="Y8" s="169">
        <v>22</v>
      </c>
      <c r="Z8" s="164">
        <v>23</v>
      </c>
      <c r="AA8" s="164">
        <v>24</v>
      </c>
      <c r="AB8" s="169">
        <v>25</v>
      </c>
      <c r="AC8" s="169">
        <v>26</v>
      </c>
      <c r="AD8" s="164" t="s">
        <v>391</v>
      </c>
      <c r="AE8" s="32"/>
    </row>
    <row r="9" spans="1:255" s="157" customFormat="1" ht="22.5" customHeight="1">
      <c r="A9" s="164"/>
      <c r="B9" s="164" t="s">
        <v>656</v>
      </c>
      <c r="C9" s="164"/>
      <c r="D9" s="164"/>
      <c r="E9" s="164"/>
      <c r="F9" s="164"/>
      <c r="G9" s="169"/>
      <c r="H9" s="169"/>
      <c r="I9" s="306"/>
      <c r="J9" s="161"/>
      <c r="K9" s="164"/>
      <c r="L9" s="164"/>
      <c r="M9" s="169"/>
      <c r="N9" s="169"/>
      <c r="O9" s="169"/>
      <c r="P9" s="169"/>
      <c r="Q9" s="169"/>
      <c r="R9" s="169"/>
      <c r="S9" s="169"/>
      <c r="T9" s="164"/>
      <c r="U9" s="164"/>
      <c r="V9" s="164"/>
      <c r="W9" s="164"/>
      <c r="X9" s="169"/>
      <c r="Y9" s="169"/>
      <c r="Z9" s="164"/>
      <c r="AA9" s="164"/>
      <c r="AB9" s="169"/>
      <c r="AC9" s="169"/>
      <c r="AD9" s="164"/>
      <c r="AE9" s="159"/>
    </row>
    <row r="10" spans="1:255" s="42" customFormat="1" ht="38.25" customHeight="1">
      <c r="A10" s="229">
        <v>1</v>
      </c>
      <c r="B10" s="230" t="s">
        <v>655</v>
      </c>
      <c r="C10" s="267">
        <v>64</v>
      </c>
      <c r="D10" s="267">
        <v>397</v>
      </c>
      <c r="E10" s="268">
        <v>1079.5999999999999</v>
      </c>
      <c r="F10" s="268" t="s">
        <v>393</v>
      </c>
      <c r="G10" s="232">
        <v>1080</v>
      </c>
      <c r="H10" s="232">
        <f>E10-G10</f>
        <v>-0.40000000000009095</v>
      </c>
      <c r="I10" s="307">
        <v>1080</v>
      </c>
      <c r="J10" s="277">
        <v>1350</v>
      </c>
      <c r="K10" s="33"/>
      <c r="L10" s="233">
        <f>(I10+I20)/J10*100</f>
        <v>100</v>
      </c>
      <c r="M10" s="234">
        <f>IF(L10&lt;10,2,IF(L10&lt;20,3,IF(L10&lt;30,5,IF(L10&gt;=70,12,IF(L10&gt;=30,6)))))</f>
        <v>12</v>
      </c>
      <c r="N10" s="234">
        <v>3</v>
      </c>
      <c r="O10" s="234">
        <f>$O$7</f>
        <v>80000</v>
      </c>
      <c r="P10" s="234">
        <f>(I10+I20)*O10</f>
        <v>108000000</v>
      </c>
      <c r="Q10" s="234">
        <f>$Q$7*(I10+I20)</f>
        <v>324000000</v>
      </c>
      <c r="R10" s="234">
        <f>M10*N10*R7</f>
        <v>18360000</v>
      </c>
      <c r="S10" s="234">
        <f>R10+Q10+P10</f>
        <v>450360000</v>
      </c>
      <c r="T10" s="34" t="s">
        <v>702</v>
      </c>
      <c r="U10" s="35"/>
      <c r="V10" s="171"/>
      <c r="W10" s="37" t="s">
        <v>0</v>
      </c>
      <c r="X10" s="175">
        <v>400</v>
      </c>
      <c r="Y10" s="175">
        <v>97000</v>
      </c>
      <c r="Z10" s="33"/>
      <c r="AA10" s="39">
        <v>1</v>
      </c>
      <c r="AB10" s="40">
        <f>X10*Y10*AA10</f>
        <v>38800000</v>
      </c>
      <c r="AC10" s="235">
        <f>SUM(AB10:AB19)</f>
        <v>176650000</v>
      </c>
      <c r="AD10" s="235">
        <f>S10+AC10+AC20</f>
        <v>687760000</v>
      </c>
      <c r="AE10" s="275" t="s">
        <v>492</v>
      </c>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row>
    <row r="11" spans="1:255" s="42" customFormat="1" ht="33.75" customHeight="1">
      <c r="A11" s="229"/>
      <c r="B11" s="231"/>
      <c r="C11" s="267"/>
      <c r="D11" s="267"/>
      <c r="E11" s="268"/>
      <c r="F11" s="268"/>
      <c r="G11" s="232"/>
      <c r="H11" s="232"/>
      <c r="I11" s="307"/>
      <c r="J11" s="277"/>
      <c r="K11" s="33"/>
      <c r="L11" s="233"/>
      <c r="M11" s="234"/>
      <c r="N11" s="234"/>
      <c r="O11" s="234"/>
      <c r="P11" s="234"/>
      <c r="Q11" s="234"/>
      <c r="R11" s="234"/>
      <c r="S11" s="234"/>
      <c r="T11" s="43" t="s">
        <v>691</v>
      </c>
      <c r="U11" s="44">
        <v>25</v>
      </c>
      <c r="V11" s="171">
        <f>(G10-X10)/U11</f>
        <v>27.2</v>
      </c>
      <c r="W11" s="171" t="str">
        <f>'[1]bang gia'!$C$46</f>
        <v>đồng/cây</v>
      </c>
      <c r="X11" s="175">
        <v>30</v>
      </c>
      <c r="Y11" s="45"/>
      <c r="Z11" s="33"/>
      <c r="AA11" s="39"/>
      <c r="AB11" s="40"/>
      <c r="AC11" s="235"/>
      <c r="AD11" s="235"/>
      <c r="AE11" s="276"/>
    </row>
    <row r="12" spans="1:255" s="42" customFormat="1" ht="20.100000000000001" customHeight="1">
      <c r="A12" s="229"/>
      <c r="B12" s="231"/>
      <c r="C12" s="267"/>
      <c r="D12" s="267"/>
      <c r="E12" s="268"/>
      <c r="F12" s="268"/>
      <c r="G12" s="232"/>
      <c r="H12" s="232"/>
      <c r="I12" s="307"/>
      <c r="J12" s="277"/>
      <c r="K12" s="33"/>
      <c r="L12" s="233"/>
      <c r="M12" s="234"/>
      <c r="N12" s="234"/>
      <c r="O12" s="234"/>
      <c r="P12" s="234"/>
      <c r="Q12" s="234"/>
      <c r="R12" s="234"/>
      <c r="S12" s="234"/>
      <c r="T12" s="46" t="s">
        <v>399</v>
      </c>
      <c r="U12" s="44"/>
      <c r="V12" s="171"/>
      <c r="W12" s="171" t="str">
        <f>'[1]bang gia'!$C$46</f>
        <v>đồng/cây</v>
      </c>
      <c r="X12" s="175">
        <v>27</v>
      </c>
      <c r="Y12" s="45">
        <v>4500000</v>
      </c>
      <c r="Z12" s="33"/>
      <c r="AA12" s="39">
        <v>1</v>
      </c>
      <c r="AB12" s="40">
        <f t="shared" ref="AB12:AB17" si="0">X12*Y12*AA12</f>
        <v>121500000</v>
      </c>
      <c r="AC12" s="235"/>
      <c r="AD12" s="235"/>
      <c r="AE12" s="276"/>
    </row>
    <row r="13" spans="1:255" s="42" customFormat="1" ht="20.100000000000001" customHeight="1">
      <c r="A13" s="229"/>
      <c r="B13" s="231"/>
      <c r="C13" s="267"/>
      <c r="D13" s="267"/>
      <c r="E13" s="268"/>
      <c r="F13" s="268"/>
      <c r="G13" s="232"/>
      <c r="H13" s="232"/>
      <c r="I13" s="307"/>
      <c r="J13" s="277"/>
      <c r="K13" s="33"/>
      <c r="L13" s="233"/>
      <c r="M13" s="234"/>
      <c r="N13" s="234"/>
      <c r="O13" s="234"/>
      <c r="P13" s="234"/>
      <c r="Q13" s="234"/>
      <c r="R13" s="234"/>
      <c r="S13" s="234"/>
      <c r="T13" s="46" t="s">
        <v>401</v>
      </c>
      <c r="U13" s="44"/>
      <c r="V13" s="171">
        <f>(X11-X12)*0.3</f>
        <v>0.89999999999999991</v>
      </c>
      <c r="W13" s="171" t="str">
        <f>'[1]bang gia'!$C$46</f>
        <v>đồng/cây</v>
      </c>
      <c r="X13" s="175">
        <v>1</v>
      </c>
      <c r="Y13" s="45">
        <v>4500000</v>
      </c>
      <c r="Z13" s="33"/>
      <c r="AA13" s="39">
        <v>0.3</v>
      </c>
      <c r="AB13" s="40">
        <f t="shared" si="0"/>
        <v>1350000</v>
      </c>
      <c r="AC13" s="235"/>
      <c r="AD13" s="235"/>
    </row>
    <row r="14" spans="1:255" s="42" customFormat="1" ht="20.100000000000001" customHeight="1">
      <c r="A14" s="229"/>
      <c r="B14" s="231"/>
      <c r="C14" s="267"/>
      <c r="D14" s="267"/>
      <c r="E14" s="268"/>
      <c r="F14" s="268"/>
      <c r="G14" s="232"/>
      <c r="H14" s="232"/>
      <c r="I14" s="307"/>
      <c r="J14" s="277"/>
      <c r="K14" s="33"/>
      <c r="L14" s="233"/>
      <c r="M14" s="234"/>
      <c r="N14" s="234"/>
      <c r="O14" s="234"/>
      <c r="P14" s="234"/>
      <c r="Q14" s="234"/>
      <c r="R14" s="234"/>
      <c r="S14" s="234"/>
      <c r="T14" s="46" t="s">
        <v>402</v>
      </c>
      <c r="U14" s="44"/>
      <c r="V14" s="171"/>
      <c r="W14" s="171" t="str">
        <f>'[1]bang gia'!$C$46</f>
        <v>đồng/cây</v>
      </c>
      <c r="X14" s="175">
        <f>X11-X12-X13</f>
        <v>2</v>
      </c>
      <c r="Y14" s="45">
        <v>4500000</v>
      </c>
      <c r="Z14" s="33"/>
      <c r="AA14" s="39">
        <v>0</v>
      </c>
      <c r="AB14" s="40">
        <f t="shared" si="0"/>
        <v>0</v>
      </c>
      <c r="AC14" s="235"/>
      <c r="AD14" s="235"/>
    </row>
    <row r="15" spans="1:255" s="42" customFormat="1" ht="38.25" customHeight="1">
      <c r="A15" s="229"/>
      <c r="B15" s="231"/>
      <c r="C15" s="267"/>
      <c r="D15" s="267"/>
      <c r="E15" s="268"/>
      <c r="F15" s="268"/>
      <c r="G15" s="232"/>
      <c r="H15" s="232"/>
      <c r="I15" s="307"/>
      <c r="J15" s="277"/>
      <c r="K15" s="33"/>
      <c r="L15" s="233"/>
      <c r="M15" s="234"/>
      <c r="N15" s="234"/>
      <c r="O15" s="234"/>
      <c r="P15" s="234"/>
      <c r="Q15" s="234"/>
      <c r="R15" s="234"/>
      <c r="S15" s="234"/>
      <c r="T15" s="43" t="s">
        <v>692</v>
      </c>
      <c r="U15" s="44">
        <v>20</v>
      </c>
      <c r="V15" s="171">
        <f>(G10-X10)/U15*0.3</f>
        <v>10.199999999999999</v>
      </c>
      <c r="W15" s="171" t="str">
        <f>'[1]bang gia'!$C$46</f>
        <v>đồng/cây</v>
      </c>
      <c r="X15" s="175">
        <v>10</v>
      </c>
      <c r="Y15" s="45"/>
      <c r="Z15" s="33"/>
      <c r="AA15" s="39"/>
      <c r="AB15" s="40"/>
      <c r="AC15" s="235"/>
      <c r="AD15" s="235"/>
    </row>
    <row r="16" spans="1:255" s="42" customFormat="1" ht="23.25" customHeight="1">
      <c r="A16" s="229"/>
      <c r="B16" s="231"/>
      <c r="C16" s="267"/>
      <c r="D16" s="267"/>
      <c r="E16" s="268"/>
      <c r="F16" s="268"/>
      <c r="G16" s="232"/>
      <c r="H16" s="232"/>
      <c r="I16" s="307"/>
      <c r="J16" s="277"/>
      <c r="K16" s="33"/>
      <c r="L16" s="233"/>
      <c r="M16" s="234"/>
      <c r="N16" s="234"/>
      <c r="O16" s="234"/>
      <c r="P16" s="234"/>
      <c r="Q16" s="234"/>
      <c r="R16" s="234"/>
      <c r="S16" s="234"/>
      <c r="T16" s="46" t="s">
        <v>399</v>
      </c>
      <c r="U16" s="44"/>
      <c r="V16" s="171"/>
      <c r="W16" s="171" t="str">
        <f>'[1]bang gia'!$C$46</f>
        <v>đồng/cây</v>
      </c>
      <c r="X16" s="175">
        <v>10</v>
      </c>
      <c r="Y16" s="45">
        <v>2500000</v>
      </c>
      <c r="Z16" s="33"/>
      <c r="AA16" s="39">
        <v>0.3</v>
      </c>
      <c r="AB16" s="40">
        <f t="shared" si="0"/>
        <v>7500000</v>
      </c>
      <c r="AC16" s="235"/>
      <c r="AD16" s="235"/>
    </row>
    <row r="17" spans="1:255" s="42" customFormat="1" ht="38.25" customHeight="1">
      <c r="A17" s="229"/>
      <c r="B17" s="231"/>
      <c r="C17" s="267"/>
      <c r="D17" s="267"/>
      <c r="E17" s="268"/>
      <c r="F17" s="268"/>
      <c r="G17" s="232"/>
      <c r="H17" s="232"/>
      <c r="I17" s="307"/>
      <c r="J17" s="277"/>
      <c r="K17" s="33"/>
      <c r="L17" s="233"/>
      <c r="M17" s="234"/>
      <c r="N17" s="234"/>
      <c r="O17" s="234"/>
      <c r="P17" s="234"/>
      <c r="Q17" s="234"/>
      <c r="R17" s="234"/>
      <c r="S17" s="234"/>
      <c r="T17" s="43" t="s">
        <v>650</v>
      </c>
      <c r="U17" s="44"/>
      <c r="V17" s="171"/>
      <c r="W17" s="171" t="s">
        <v>6</v>
      </c>
      <c r="X17" s="40">
        <v>250</v>
      </c>
      <c r="Y17" s="45">
        <v>30000</v>
      </c>
      <c r="Z17" s="33"/>
      <c r="AA17" s="39">
        <v>1</v>
      </c>
      <c r="AB17" s="40">
        <f t="shared" si="0"/>
        <v>7500000</v>
      </c>
      <c r="AC17" s="235"/>
      <c r="AD17" s="235"/>
    </row>
    <row r="18" spans="1:255" s="42" customFormat="1" ht="21" customHeight="1">
      <c r="A18" s="229"/>
      <c r="B18" s="231"/>
      <c r="C18" s="267"/>
      <c r="D18" s="267"/>
      <c r="E18" s="268"/>
      <c r="F18" s="268"/>
      <c r="G18" s="232"/>
      <c r="H18" s="232"/>
      <c r="I18" s="307"/>
      <c r="J18" s="277"/>
      <c r="K18" s="33"/>
      <c r="L18" s="233"/>
      <c r="M18" s="234"/>
      <c r="N18" s="234"/>
      <c r="O18" s="234"/>
      <c r="P18" s="234"/>
      <c r="Q18" s="234"/>
      <c r="R18" s="234"/>
      <c r="S18" s="234"/>
      <c r="T18" s="47" t="s">
        <v>495</v>
      </c>
      <c r="U18" s="163"/>
      <c r="V18" s="35"/>
      <c r="W18" s="163" t="s">
        <v>7</v>
      </c>
      <c r="X18" s="40"/>
      <c r="Y18" s="161"/>
      <c r="Z18" s="33"/>
      <c r="AA18" s="39">
        <v>0</v>
      </c>
      <c r="AB18" s="175">
        <v>0</v>
      </c>
      <c r="AC18" s="235"/>
      <c r="AD18" s="235"/>
    </row>
    <row r="19" spans="1:255" s="42" customFormat="1" ht="21" customHeight="1">
      <c r="A19" s="229"/>
      <c r="B19" s="231"/>
      <c r="C19" s="267"/>
      <c r="D19" s="267"/>
      <c r="E19" s="268"/>
      <c r="F19" s="268"/>
      <c r="G19" s="232"/>
      <c r="H19" s="232"/>
      <c r="I19" s="307"/>
      <c r="J19" s="277"/>
      <c r="K19" s="33"/>
      <c r="L19" s="233"/>
      <c r="M19" s="234"/>
      <c r="N19" s="234"/>
      <c r="O19" s="234"/>
      <c r="P19" s="234"/>
      <c r="Q19" s="234"/>
      <c r="R19" s="234"/>
      <c r="S19" s="234"/>
      <c r="T19" s="49" t="s">
        <v>428</v>
      </c>
      <c r="U19" s="35"/>
      <c r="V19" s="35"/>
      <c r="W19" s="35" t="s">
        <v>395</v>
      </c>
      <c r="X19" s="40">
        <v>1</v>
      </c>
      <c r="Y19" s="175"/>
      <c r="Z19" s="33"/>
      <c r="AA19" s="39">
        <v>0</v>
      </c>
      <c r="AB19" s="40">
        <f t="shared" ref="AB19:AB24" si="1">X19*Y19*AA19</f>
        <v>0</v>
      </c>
      <c r="AC19" s="235"/>
      <c r="AD19" s="235"/>
    </row>
    <row r="20" spans="1:255" s="42" customFormat="1" ht="44.25" customHeight="1">
      <c r="A20" s="229"/>
      <c r="B20" s="231"/>
      <c r="C20" s="267">
        <v>64</v>
      </c>
      <c r="D20" s="267">
        <v>513</v>
      </c>
      <c r="E20" s="268">
        <v>269.3</v>
      </c>
      <c r="F20" s="268" t="s">
        <v>26</v>
      </c>
      <c r="G20" s="232">
        <v>270</v>
      </c>
      <c r="H20" s="232">
        <f>E20-G20</f>
        <v>-0.69999999999998863</v>
      </c>
      <c r="I20" s="307">
        <v>270</v>
      </c>
      <c r="J20" s="277"/>
      <c r="K20" s="33"/>
      <c r="L20" s="233"/>
      <c r="M20" s="234"/>
      <c r="N20" s="234"/>
      <c r="O20" s="234"/>
      <c r="P20" s="234"/>
      <c r="Q20" s="234"/>
      <c r="R20" s="234"/>
      <c r="S20" s="234"/>
      <c r="T20" s="49" t="s">
        <v>693</v>
      </c>
      <c r="U20" s="44">
        <v>25</v>
      </c>
      <c r="V20" s="171">
        <f>G20/25</f>
        <v>10.8</v>
      </c>
      <c r="W20" s="171" t="str">
        <f>'[1]bang gia'!$C$46</f>
        <v>đồng/cây</v>
      </c>
      <c r="X20" s="175">
        <v>14</v>
      </c>
      <c r="Y20" s="45"/>
      <c r="Z20" s="33"/>
      <c r="AA20" s="39"/>
      <c r="AB20" s="40"/>
      <c r="AC20" s="235">
        <f>SUM(AB20:AB26)</f>
        <v>60750000</v>
      </c>
      <c r="AD20" s="235"/>
      <c r="AE20" s="275" t="s">
        <v>497</v>
      </c>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row>
    <row r="21" spans="1:255" s="42" customFormat="1" ht="21" customHeight="1">
      <c r="A21" s="229"/>
      <c r="B21" s="231"/>
      <c r="C21" s="267"/>
      <c r="D21" s="267"/>
      <c r="E21" s="268"/>
      <c r="F21" s="268"/>
      <c r="G21" s="232"/>
      <c r="H21" s="232"/>
      <c r="I21" s="307"/>
      <c r="J21" s="277"/>
      <c r="K21" s="33"/>
      <c r="L21" s="233"/>
      <c r="M21" s="234"/>
      <c r="N21" s="234"/>
      <c r="O21" s="234"/>
      <c r="P21" s="234"/>
      <c r="Q21" s="234"/>
      <c r="R21" s="234"/>
      <c r="S21" s="234"/>
      <c r="T21" s="46" t="s">
        <v>399</v>
      </c>
      <c r="U21" s="44"/>
      <c r="V21" s="171"/>
      <c r="W21" s="171" t="str">
        <f>'[1]bang gia'!$C$46</f>
        <v>đồng/cây</v>
      </c>
      <c r="X21" s="175">
        <v>11</v>
      </c>
      <c r="Y21" s="45">
        <v>4500000</v>
      </c>
      <c r="Z21" s="33"/>
      <c r="AA21" s="39">
        <v>1</v>
      </c>
      <c r="AB21" s="40">
        <f t="shared" si="1"/>
        <v>49500000</v>
      </c>
      <c r="AC21" s="235"/>
      <c r="AD21" s="235"/>
      <c r="AE21" s="276"/>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row>
    <row r="22" spans="1:255" s="42" customFormat="1" ht="21" customHeight="1">
      <c r="A22" s="229"/>
      <c r="B22" s="231"/>
      <c r="C22" s="267"/>
      <c r="D22" s="267"/>
      <c r="E22" s="268"/>
      <c r="F22" s="268"/>
      <c r="G22" s="232"/>
      <c r="H22" s="232"/>
      <c r="I22" s="307"/>
      <c r="J22" s="277"/>
      <c r="K22" s="33"/>
      <c r="L22" s="233"/>
      <c r="M22" s="234"/>
      <c r="N22" s="234"/>
      <c r="O22" s="234"/>
      <c r="P22" s="234"/>
      <c r="Q22" s="234"/>
      <c r="R22" s="234"/>
      <c r="S22" s="234"/>
      <c r="T22" s="46" t="s">
        <v>401</v>
      </c>
      <c r="U22" s="44"/>
      <c r="V22" s="171">
        <f>V20*0.3</f>
        <v>3.24</v>
      </c>
      <c r="W22" s="171" t="str">
        <f>'[1]bang gia'!$C$46</f>
        <v>đồng/cây</v>
      </c>
      <c r="X22" s="175">
        <v>3</v>
      </c>
      <c r="Y22" s="45">
        <v>4500000</v>
      </c>
      <c r="Z22" s="33"/>
      <c r="AA22" s="39">
        <v>0.5</v>
      </c>
      <c r="AB22" s="40">
        <f t="shared" si="1"/>
        <v>6750000</v>
      </c>
      <c r="AC22" s="235"/>
      <c r="AD22" s="235"/>
      <c r="AE22" s="276"/>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row>
    <row r="23" spans="1:255" s="42" customFormat="1" ht="21" customHeight="1">
      <c r="A23" s="229"/>
      <c r="B23" s="231"/>
      <c r="C23" s="267"/>
      <c r="D23" s="267"/>
      <c r="E23" s="268"/>
      <c r="F23" s="268"/>
      <c r="G23" s="232"/>
      <c r="H23" s="232"/>
      <c r="I23" s="307"/>
      <c r="J23" s="277"/>
      <c r="K23" s="33"/>
      <c r="L23" s="233"/>
      <c r="M23" s="234"/>
      <c r="N23" s="234"/>
      <c r="O23" s="234"/>
      <c r="P23" s="234"/>
      <c r="Q23" s="234"/>
      <c r="R23" s="234"/>
      <c r="S23" s="234"/>
      <c r="T23" s="43" t="s">
        <v>498</v>
      </c>
      <c r="U23" s="44"/>
      <c r="V23" s="171"/>
      <c r="W23" s="171" t="s">
        <v>6</v>
      </c>
      <c r="X23" s="40">
        <v>150</v>
      </c>
      <c r="Y23" s="45">
        <v>30000</v>
      </c>
      <c r="Z23" s="33"/>
      <c r="AA23" s="39">
        <v>1</v>
      </c>
      <c r="AB23" s="40">
        <f t="shared" si="1"/>
        <v>4500000</v>
      </c>
      <c r="AC23" s="235"/>
      <c r="AD23" s="235"/>
    </row>
    <row r="24" spans="1:255" s="42" customFormat="1" ht="21" customHeight="1">
      <c r="A24" s="229"/>
      <c r="B24" s="231"/>
      <c r="C24" s="267"/>
      <c r="D24" s="267"/>
      <c r="E24" s="268"/>
      <c r="F24" s="268"/>
      <c r="G24" s="232"/>
      <c r="H24" s="232"/>
      <c r="I24" s="307"/>
      <c r="J24" s="277"/>
      <c r="K24" s="33"/>
      <c r="L24" s="233"/>
      <c r="M24" s="234"/>
      <c r="N24" s="234"/>
      <c r="O24" s="234"/>
      <c r="P24" s="234"/>
      <c r="Q24" s="234"/>
      <c r="R24" s="234"/>
      <c r="S24" s="234"/>
      <c r="T24" s="43" t="s">
        <v>499</v>
      </c>
      <c r="U24" s="44"/>
      <c r="V24" s="171"/>
      <c r="W24" s="171" t="s">
        <v>6</v>
      </c>
      <c r="X24" s="175"/>
      <c r="Y24" s="161"/>
      <c r="Z24" s="33"/>
      <c r="AA24" s="39">
        <v>0</v>
      </c>
      <c r="AB24" s="40">
        <f t="shared" si="1"/>
        <v>0</v>
      </c>
      <c r="AC24" s="235"/>
      <c r="AD24" s="235"/>
    </row>
    <row r="25" spans="1:255" s="42" customFormat="1" ht="21" customHeight="1">
      <c r="A25" s="229"/>
      <c r="B25" s="231"/>
      <c r="C25" s="267"/>
      <c r="D25" s="267"/>
      <c r="E25" s="268"/>
      <c r="F25" s="268"/>
      <c r="G25" s="232"/>
      <c r="H25" s="232"/>
      <c r="I25" s="307"/>
      <c r="J25" s="277"/>
      <c r="K25" s="33"/>
      <c r="L25" s="233"/>
      <c r="M25" s="234"/>
      <c r="N25" s="234"/>
      <c r="O25" s="234"/>
      <c r="P25" s="234"/>
      <c r="Q25" s="234"/>
      <c r="R25" s="234"/>
      <c r="S25" s="234"/>
      <c r="T25" s="49" t="s">
        <v>500</v>
      </c>
      <c r="U25" s="35"/>
      <c r="V25" s="171"/>
      <c r="W25" s="171" t="s">
        <v>501</v>
      </c>
      <c r="X25" s="50"/>
      <c r="Y25" s="175"/>
      <c r="Z25" s="33"/>
      <c r="AA25" s="39">
        <v>0</v>
      </c>
      <c r="AB25" s="175">
        <v>0</v>
      </c>
      <c r="AC25" s="235"/>
      <c r="AD25" s="235"/>
    </row>
    <row r="26" spans="1:255" s="42" customFormat="1" ht="42.75" customHeight="1">
      <c r="A26" s="229"/>
      <c r="B26" s="231"/>
      <c r="C26" s="267"/>
      <c r="D26" s="267"/>
      <c r="E26" s="268"/>
      <c r="F26" s="268"/>
      <c r="G26" s="232"/>
      <c r="H26" s="232"/>
      <c r="I26" s="307"/>
      <c r="J26" s="277"/>
      <c r="K26" s="33"/>
      <c r="L26" s="233"/>
      <c r="M26" s="234"/>
      <c r="N26" s="234"/>
      <c r="O26" s="234"/>
      <c r="P26" s="234"/>
      <c r="Q26" s="234"/>
      <c r="R26" s="234"/>
      <c r="S26" s="234"/>
      <c r="T26" s="47" t="s">
        <v>502</v>
      </c>
      <c r="U26" s="163"/>
      <c r="V26" s="171"/>
      <c r="W26" s="171" t="s">
        <v>6</v>
      </c>
      <c r="X26" s="175"/>
      <c r="Y26" s="161"/>
      <c r="Z26" s="33"/>
      <c r="AA26" s="39">
        <v>0</v>
      </c>
      <c r="AB26" s="40">
        <f>X26*Y26*AA26</f>
        <v>0</v>
      </c>
      <c r="AC26" s="235"/>
      <c r="AD26" s="235"/>
    </row>
    <row r="27" spans="1:255" s="42" customFormat="1" ht="42" customHeight="1">
      <c r="A27" s="229">
        <v>2</v>
      </c>
      <c r="B27" s="267" t="s">
        <v>503</v>
      </c>
      <c r="C27" s="267">
        <v>64</v>
      </c>
      <c r="D27" s="267">
        <v>514</v>
      </c>
      <c r="E27" s="268">
        <v>328.1</v>
      </c>
      <c r="F27" s="268" t="s">
        <v>26</v>
      </c>
      <c r="G27" s="232">
        <v>306</v>
      </c>
      <c r="H27" s="232">
        <f>E27-G27</f>
        <v>22.100000000000023</v>
      </c>
      <c r="I27" s="307">
        <v>306</v>
      </c>
      <c r="J27" s="232">
        <v>306</v>
      </c>
      <c r="K27" s="33"/>
      <c r="L27" s="233">
        <f>I27/J27*100</f>
        <v>100</v>
      </c>
      <c r="M27" s="234">
        <f>IF(L27&lt;10,2,IF(L27&lt;20,3,IF(L27&lt;30,5,IF(L27&gt;=70,12,IF(L27&gt;=30,6)))))</f>
        <v>12</v>
      </c>
      <c r="N27" s="234">
        <v>3</v>
      </c>
      <c r="O27" s="234">
        <f>$O$7</f>
        <v>80000</v>
      </c>
      <c r="P27" s="234">
        <f>I27*O27</f>
        <v>24480000</v>
      </c>
      <c r="Q27" s="234">
        <f>$Q$7*I27</f>
        <v>73440000</v>
      </c>
      <c r="R27" s="234">
        <f>M27*N27*R7</f>
        <v>18360000</v>
      </c>
      <c r="S27" s="234">
        <f>R27+Q27+P27</f>
        <v>116280000</v>
      </c>
      <c r="T27" s="43" t="s">
        <v>694</v>
      </c>
      <c r="U27" s="44">
        <v>25</v>
      </c>
      <c r="V27" s="171">
        <f>G27/U27</f>
        <v>12.24</v>
      </c>
      <c r="W27" s="171" t="str">
        <f>'[1]bang gia'!$C$46</f>
        <v>đồng/cây</v>
      </c>
      <c r="X27" s="175">
        <v>12</v>
      </c>
      <c r="Y27" s="45"/>
      <c r="Z27" s="33"/>
      <c r="AA27" s="39"/>
      <c r="AB27" s="40"/>
      <c r="AC27" s="235">
        <f>SUM(AB27:AB36)</f>
        <v>54200000</v>
      </c>
      <c r="AD27" s="235">
        <f>AC27+S27</f>
        <v>170480000</v>
      </c>
      <c r="AE27" s="275" t="s">
        <v>505</v>
      </c>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row>
    <row r="28" spans="1:255" s="42" customFormat="1" ht="27" customHeight="1">
      <c r="A28" s="229"/>
      <c r="B28" s="267"/>
      <c r="C28" s="267"/>
      <c r="D28" s="267"/>
      <c r="E28" s="268"/>
      <c r="F28" s="268"/>
      <c r="G28" s="232"/>
      <c r="H28" s="232"/>
      <c r="I28" s="307"/>
      <c r="J28" s="232"/>
      <c r="K28" s="33"/>
      <c r="L28" s="233"/>
      <c r="M28" s="234"/>
      <c r="N28" s="234"/>
      <c r="O28" s="234"/>
      <c r="P28" s="234"/>
      <c r="Q28" s="234"/>
      <c r="R28" s="234"/>
      <c r="S28" s="234"/>
      <c r="T28" s="46" t="s">
        <v>399</v>
      </c>
      <c r="U28" s="44"/>
      <c r="V28" s="171"/>
      <c r="W28" s="171" t="str">
        <f>'[1]bang gia'!$C$46</f>
        <v>đồng/cây</v>
      </c>
      <c r="X28" s="175">
        <v>12</v>
      </c>
      <c r="Y28" s="45">
        <v>3750000</v>
      </c>
      <c r="Z28" s="33"/>
      <c r="AA28" s="39">
        <v>1</v>
      </c>
      <c r="AB28" s="40">
        <f>X28*Y28*AA28</f>
        <v>45000000</v>
      </c>
      <c r="AC28" s="235"/>
      <c r="AD28" s="235"/>
      <c r="AE28" s="276"/>
    </row>
    <row r="29" spans="1:255" s="42" customFormat="1" ht="45" customHeight="1">
      <c r="A29" s="229"/>
      <c r="B29" s="267"/>
      <c r="C29" s="267"/>
      <c r="D29" s="267"/>
      <c r="E29" s="268"/>
      <c r="F29" s="268"/>
      <c r="G29" s="232"/>
      <c r="H29" s="232"/>
      <c r="I29" s="307"/>
      <c r="J29" s="232"/>
      <c r="K29" s="33"/>
      <c r="L29" s="233"/>
      <c r="M29" s="234"/>
      <c r="N29" s="234"/>
      <c r="O29" s="234"/>
      <c r="P29" s="234"/>
      <c r="Q29" s="234"/>
      <c r="R29" s="234"/>
      <c r="S29" s="234"/>
      <c r="T29" s="43" t="s">
        <v>699</v>
      </c>
      <c r="U29" s="44">
        <v>20</v>
      </c>
      <c r="V29" s="171">
        <f>G27/U29</f>
        <v>15.3</v>
      </c>
      <c r="W29" s="171" t="str">
        <f>'[1]bang gia'!$C$46</f>
        <v>đồng/cây</v>
      </c>
      <c r="X29" s="175">
        <v>15</v>
      </c>
      <c r="Y29" s="45"/>
      <c r="Z29" s="33"/>
      <c r="AA29" s="39"/>
      <c r="AB29" s="40"/>
      <c r="AC29" s="235"/>
      <c r="AD29" s="235"/>
      <c r="AE29" s="276"/>
    </row>
    <row r="30" spans="1:255" s="42" customFormat="1" ht="27" customHeight="1">
      <c r="A30" s="229"/>
      <c r="B30" s="267"/>
      <c r="C30" s="267"/>
      <c r="D30" s="267"/>
      <c r="E30" s="268"/>
      <c r="F30" s="268"/>
      <c r="G30" s="232"/>
      <c r="H30" s="232"/>
      <c r="I30" s="307"/>
      <c r="J30" s="232"/>
      <c r="K30" s="33"/>
      <c r="L30" s="233"/>
      <c r="M30" s="234"/>
      <c r="N30" s="234"/>
      <c r="O30" s="234"/>
      <c r="P30" s="234"/>
      <c r="Q30" s="234"/>
      <c r="R30" s="234"/>
      <c r="S30" s="234"/>
      <c r="T30" s="46" t="s">
        <v>399</v>
      </c>
      <c r="U30" s="44"/>
      <c r="V30" s="171"/>
      <c r="W30" s="171" t="str">
        <f>'[1]bang gia'!$C$46</f>
        <v>đồng/cây</v>
      </c>
      <c r="X30" s="175">
        <v>15</v>
      </c>
      <c r="Y30" s="45">
        <v>1800000</v>
      </c>
      <c r="Z30" s="33"/>
      <c r="AA30" s="51">
        <v>0.3</v>
      </c>
      <c r="AB30" s="40">
        <f>X30*Y30*AA30</f>
        <v>8100000</v>
      </c>
      <c r="AC30" s="235"/>
      <c r="AD30" s="235"/>
    </row>
    <row r="31" spans="1:255" s="42" customFormat="1" ht="44.25" customHeight="1">
      <c r="A31" s="229"/>
      <c r="B31" s="267"/>
      <c r="C31" s="267"/>
      <c r="D31" s="267"/>
      <c r="E31" s="268"/>
      <c r="F31" s="268"/>
      <c r="G31" s="232"/>
      <c r="H31" s="232"/>
      <c r="I31" s="307"/>
      <c r="J31" s="232"/>
      <c r="K31" s="33"/>
      <c r="L31" s="233"/>
      <c r="M31" s="234"/>
      <c r="N31" s="234"/>
      <c r="O31" s="234"/>
      <c r="P31" s="234"/>
      <c r="Q31" s="234"/>
      <c r="R31" s="234"/>
      <c r="S31" s="234"/>
      <c r="T31" s="43" t="s">
        <v>700</v>
      </c>
      <c r="U31" s="44">
        <v>4.5</v>
      </c>
      <c r="V31" s="171">
        <f>G27/U31</f>
        <v>68</v>
      </c>
      <c r="W31" s="44" t="s">
        <v>2</v>
      </c>
      <c r="X31" s="175">
        <v>5</v>
      </c>
      <c r="Y31" s="45"/>
      <c r="Z31" s="33"/>
      <c r="AA31" s="39"/>
      <c r="AB31" s="175"/>
      <c r="AC31" s="235"/>
      <c r="AD31" s="235"/>
    </row>
    <row r="32" spans="1:255" s="42" customFormat="1" ht="23.25" customHeight="1">
      <c r="A32" s="229"/>
      <c r="B32" s="267"/>
      <c r="C32" s="267"/>
      <c r="D32" s="267"/>
      <c r="E32" s="268"/>
      <c r="F32" s="268"/>
      <c r="G32" s="232"/>
      <c r="H32" s="232"/>
      <c r="I32" s="307"/>
      <c r="J32" s="232"/>
      <c r="K32" s="33"/>
      <c r="L32" s="233"/>
      <c r="M32" s="234"/>
      <c r="N32" s="234"/>
      <c r="O32" s="234"/>
      <c r="P32" s="234"/>
      <c r="Q32" s="234"/>
      <c r="R32" s="234"/>
      <c r="S32" s="234"/>
      <c r="T32" s="46" t="s">
        <v>417</v>
      </c>
      <c r="U32" s="44"/>
      <c r="V32" s="171"/>
      <c r="W32" s="44" t="s">
        <v>2</v>
      </c>
      <c r="X32" s="175">
        <v>5</v>
      </c>
      <c r="Y32" s="45">
        <v>100000</v>
      </c>
      <c r="Z32" s="33"/>
      <c r="AA32" s="51">
        <v>0</v>
      </c>
      <c r="AB32" s="40">
        <f t="shared" ref="AB32:AB37" si="2">X32*Y32*AA32</f>
        <v>0</v>
      </c>
      <c r="AC32" s="235"/>
      <c r="AD32" s="235"/>
    </row>
    <row r="33" spans="1:255" s="42" customFormat="1" ht="21" customHeight="1">
      <c r="A33" s="229"/>
      <c r="B33" s="267"/>
      <c r="C33" s="267"/>
      <c r="D33" s="267"/>
      <c r="E33" s="268"/>
      <c r="F33" s="268"/>
      <c r="G33" s="232"/>
      <c r="H33" s="232"/>
      <c r="I33" s="307"/>
      <c r="J33" s="232"/>
      <c r="K33" s="33"/>
      <c r="L33" s="233"/>
      <c r="M33" s="234"/>
      <c r="N33" s="234"/>
      <c r="O33" s="234"/>
      <c r="P33" s="234"/>
      <c r="Q33" s="234"/>
      <c r="R33" s="234"/>
      <c r="S33" s="234"/>
      <c r="T33" s="43" t="s">
        <v>508</v>
      </c>
      <c r="U33" s="44"/>
      <c r="V33" s="171"/>
      <c r="W33" s="171" t="str">
        <f>'[1]bang gia'!$C$40</f>
        <v>đồng/m²</v>
      </c>
      <c r="X33" s="175">
        <v>100</v>
      </c>
      <c r="Y33" s="45">
        <v>11000</v>
      </c>
      <c r="Z33" s="33"/>
      <c r="AA33" s="39">
        <v>1</v>
      </c>
      <c r="AB33" s="40">
        <f t="shared" si="2"/>
        <v>1100000</v>
      </c>
      <c r="AC33" s="235"/>
      <c r="AD33" s="235"/>
    </row>
    <row r="34" spans="1:255" s="42" customFormat="1" ht="21" customHeight="1">
      <c r="A34" s="229"/>
      <c r="B34" s="267"/>
      <c r="C34" s="267"/>
      <c r="D34" s="267"/>
      <c r="E34" s="268"/>
      <c r="F34" s="268"/>
      <c r="G34" s="232"/>
      <c r="H34" s="232"/>
      <c r="I34" s="307"/>
      <c r="J34" s="232"/>
      <c r="K34" s="33"/>
      <c r="L34" s="233"/>
      <c r="M34" s="234"/>
      <c r="N34" s="234"/>
      <c r="O34" s="234"/>
      <c r="P34" s="234"/>
      <c r="Q34" s="234"/>
      <c r="R34" s="234"/>
      <c r="S34" s="234"/>
      <c r="T34" s="49" t="s">
        <v>701</v>
      </c>
      <c r="U34" s="35"/>
      <c r="V34" s="171"/>
      <c r="W34" s="171" t="s">
        <v>6</v>
      </c>
      <c r="X34" s="175" t="s">
        <v>510</v>
      </c>
      <c r="Y34" s="175"/>
      <c r="Z34" s="33"/>
      <c r="AA34" s="39">
        <v>0</v>
      </c>
      <c r="AB34" s="175">
        <v>0</v>
      </c>
      <c r="AC34" s="235"/>
      <c r="AD34" s="235"/>
    </row>
    <row r="35" spans="1:255" s="42" customFormat="1" ht="21" customHeight="1">
      <c r="A35" s="229"/>
      <c r="B35" s="267"/>
      <c r="C35" s="267"/>
      <c r="D35" s="267"/>
      <c r="E35" s="268"/>
      <c r="F35" s="268"/>
      <c r="G35" s="232"/>
      <c r="H35" s="232"/>
      <c r="I35" s="307"/>
      <c r="J35" s="232"/>
      <c r="K35" s="33"/>
      <c r="L35" s="233"/>
      <c r="M35" s="234"/>
      <c r="N35" s="234"/>
      <c r="O35" s="234"/>
      <c r="P35" s="234"/>
      <c r="Q35" s="234"/>
      <c r="R35" s="234"/>
      <c r="S35" s="234"/>
      <c r="T35" s="49" t="s">
        <v>511</v>
      </c>
      <c r="U35" s="35"/>
      <c r="V35" s="171"/>
      <c r="W35" s="171" t="s">
        <v>501</v>
      </c>
      <c r="X35" s="50">
        <v>0.46</v>
      </c>
      <c r="Y35" s="175"/>
      <c r="Z35" s="33"/>
      <c r="AA35" s="39">
        <v>0</v>
      </c>
      <c r="AB35" s="175">
        <v>0</v>
      </c>
      <c r="AC35" s="235"/>
      <c r="AD35" s="235"/>
    </row>
    <row r="36" spans="1:255" s="42" customFormat="1" ht="21" customHeight="1">
      <c r="A36" s="229"/>
      <c r="B36" s="267"/>
      <c r="C36" s="267"/>
      <c r="D36" s="267"/>
      <c r="E36" s="268"/>
      <c r="F36" s="268"/>
      <c r="G36" s="232"/>
      <c r="H36" s="232"/>
      <c r="I36" s="307"/>
      <c r="J36" s="232"/>
      <c r="K36" s="33"/>
      <c r="L36" s="233"/>
      <c r="M36" s="234"/>
      <c r="N36" s="234"/>
      <c r="O36" s="234"/>
      <c r="P36" s="234"/>
      <c r="Q36" s="234"/>
      <c r="R36" s="234"/>
      <c r="S36" s="234"/>
      <c r="T36" s="49" t="s">
        <v>416</v>
      </c>
      <c r="U36" s="35"/>
      <c r="V36" s="35"/>
      <c r="W36" s="35" t="s">
        <v>395</v>
      </c>
      <c r="X36" s="40">
        <v>1</v>
      </c>
      <c r="Y36" s="175"/>
      <c r="Z36" s="33"/>
      <c r="AA36" s="39">
        <v>0</v>
      </c>
      <c r="AB36" s="40">
        <f t="shared" si="2"/>
        <v>0</v>
      </c>
      <c r="AC36" s="235"/>
      <c r="AD36" s="235"/>
    </row>
    <row r="37" spans="1:255" s="42" customFormat="1" ht="38.25" customHeight="1">
      <c r="A37" s="229">
        <v>3</v>
      </c>
      <c r="B37" s="278" t="s">
        <v>512</v>
      </c>
      <c r="C37" s="267">
        <v>64</v>
      </c>
      <c r="D37" s="267">
        <v>800</v>
      </c>
      <c r="E37" s="268">
        <v>359.8</v>
      </c>
      <c r="F37" s="268" t="s">
        <v>393</v>
      </c>
      <c r="G37" s="232">
        <v>360</v>
      </c>
      <c r="H37" s="232">
        <f>E37-G37</f>
        <v>-0.19999999999998863</v>
      </c>
      <c r="I37" s="307">
        <v>360</v>
      </c>
      <c r="J37" s="232">
        <v>360</v>
      </c>
      <c r="K37" s="33"/>
      <c r="L37" s="233">
        <f>I37/J37*100</f>
        <v>100</v>
      </c>
      <c r="M37" s="234">
        <f>IF(L37&lt;10,2,IF(L37&lt;20,3,IF(L37&lt;30,5,IF(L37&gt;=70,12,IF(L37&gt;=30,6)))))</f>
        <v>12</v>
      </c>
      <c r="N37" s="234">
        <v>4</v>
      </c>
      <c r="O37" s="234">
        <f>$O$7</f>
        <v>80000</v>
      </c>
      <c r="P37" s="234">
        <f>I37*O37</f>
        <v>28800000</v>
      </c>
      <c r="Q37" s="234">
        <f>$Q$7*I37</f>
        <v>86400000</v>
      </c>
      <c r="R37" s="234">
        <f>M37*N37*R7</f>
        <v>24480000</v>
      </c>
      <c r="S37" s="234">
        <f>R37+Q37+P37</f>
        <v>139680000</v>
      </c>
      <c r="T37" s="34" t="s">
        <v>702</v>
      </c>
      <c r="U37" s="35"/>
      <c r="V37" s="171"/>
      <c r="W37" s="37" t="s">
        <v>0</v>
      </c>
      <c r="X37" s="175">
        <v>180</v>
      </c>
      <c r="Y37" s="175">
        <v>97000</v>
      </c>
      <c r="Z37" s="33"/>
      <c r="AA37" s="39">
        <v>1</v>
      </c>
      <c r="AB37" s="40">
        <f t="shared" si="2"/>
        <v>17460000</v>
      </c>
      <c r="AC37" s="235">
        <f>SUM(AB37:AB46)</f>
        <v>51150000</v>
      </c>
      <c r="AD37" s="235">
        <f>AC37+S37</f>
        <v>190830000</v>
      </c>
      <c r="AE37" s="275" t="s">
        <v>492</v>
      </c>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row>
    <row r="38" spans="1:255" s="42" customFormat="1" ht="37.5" customHeight="1">
      <c r="A38" s="229"/>
      <c r="B38" s="267"/>
      <c r="C38" s="267"/>
      <c r="D38" s="267"/>
      <c r="E38" s="268"/>
      <c r="F38" s="268"/>
      <c r="G38" s="232"/>
      <c r="H38" s="232"/>
      <c r="I38" s="307"/>
      <c r="J38" s="232"/>
      <c r="K38" s="33"/>
      <c r="L38" s="233"/>
      <c r="M38" s="234"/>
      <c r="N38" s="234"/>
      <c r="O38" s="234"/>
      <c r="P38" s="234"/>
      <c r="Q38" s="234"/>
      <c r="R38" s="234"/>
      <c r="S38" s="234"/>
      <c r="T38" s="43" t="s">
        <v>691</v>
      </c>
      <c r="U38" s="44">
        <v>25</v>
      </c>
      <c r="V38" s="171">
        <f>(G37-X37)/25</f>
        <v>7.2</v>
      </c>
      <c r="W38" s="171" t="str">
        <f>'[1]bang gia'!$C$46</f>
        <v>đồng/cây</v>
      </c>
      <c r="X38" s="175">
        <v>9</v>
      </c>
      <c r="Y38" s="45"/>
      <c r="Z38" s="33"/>
      <c r="AA38" s="39"/>
      <c r="AB38" s="40"/>
      <c r="AC38" s="235"/>
      <c r="AD38" s="235"/>
      <c r="AE38" s="276"/>
    </row>
    <row r="39" spans="1:255" s="42" customFormat="1" ht="21" customHeight="1">
      <c r="A39" s="229"/>
      <c r="B39" s="267"/>
      <c r="C39" s="267"/>
      <c r="D39" s="267"/>
      <c r="E39" s="268"/>
      <c r="F39" s="268"/>
      <c r="G39" s="232"/>
      <c r="H39" s="232"/>
      <c r="I39" s="307"/>
      <c r="J39" s="232"/>
      <c r="K39" s="33"/>
      <c r="L39" s="233"/>
      <c r="M39" s="234"/>
      <c r="N39" s="234"/>
      <c r="O39" s="234"/>
      <c r="P39" s="234"/>
      <c r="Q39" s="234"/>
      <c r="R39" s="234"/>
      <c r="S39" s="234"/>
      <c r="T39" s="46" t="s">
        <v>399</v>
      </c>
      <c r="U39" s="44"/>
      <c r="V39" s="171"/>
      <c r="W39" s="171" t="str">
        <f>'[1]bang gia'!$C$46</f>
        <v>đồng/cây</v>
      </c>
      <c r="X39" s="175">
        <v>7</v>
      </c>
      <c r="Y39" s="45">
        <v>4500000</v>
      </c>
      <c r="Z39" s="33"/>
      <c r="AA39" s="39">
        <v>1</v>
      </c>
      <c r="AB39" s="40">
        <f>X39*Y39*AA39</f>
        <v>31500000</v>
      </c>
      <c r="AC39" s="235"/>
      <c r="AD39" s="235"/>
      <c r="AE39" s="276"/>
    </row>
    <row r="40" spans="1:255" s="42" customFormat="1" ht="21" customHeight="1">
      <c r="A40" s="229"/>
      <c r="B40" s="267"/>
      <c r="C40" s="267"/>
      <c r="D40" s="267"/>
      <c r="E40" s="268"/>
      <c r="F40" s="268"/>
      <c r="G40" s="232"/>
      <c r="H40" s="232"/>
      <c r="I40" s="307"/>
      <c r="J40" s="232"/>
      <c r="K40" s="33"/>
      <c r="L40" s="233"/>
      <c r="M40" s="234"/>
      <c r="N40" s="234"/>
      <c r="O40" s="234"/>
      <c r="P40" s="234"/>
      <c r="Q40" s="234"/>
      <c r="R40" s="234"/>
      <c r="S40" s="234"/>
      <c r="T40" s="46" t="s">
        <v>401</v>
      </c>
      <c r="U40" s="44"/>
      <c r="V40" s="171">
        <f>0.3*(9-7)</f>
        <v>0.6</v>
      </c>
      <c r="W40" s="171" t="str">
        <f>'[1]bang gia'!$C$46</f>
        <v>đồng/cây</v>
      </c>
      <c r="X40" s="175">
        <v>1</v>
      </c>
      <c r="Y40" s="45">
        <v>4500000</v>
      </c>
      <c r="Z40" s="33"/>
      <c r="AA40" s="39">
        <v>0.3</v>
      </c>
      <c r="AB40" s="40">
        <f>X40*Y40*AA40</f>
        <v>1350000</v>
      </c>
      <c r="AC40" s="235"/>
      <c r="AD40" s="235"/>
      <c r="AE40" s="158"/>
    </row>
    <row r="41" spans="1:255" s="42" customFormat="1" ht="21" customHeight="1">
      <c r="A41" s="229"/>
      <c r="B41" s="267"/>
      <c r="C41" s="267"/>
      <c r="D41" s="267"/>
      <c r="E41" s="268"/>
      <c r="F41" s="268"/>
      <c r="G41" s="232"/>
      <c r="H41" s="232"/>
      <c r="I41" s="307"/>
      <c r="J41" s="232"/>
      <c r="K41" s="33"/>
      <c r="L41" s="233"/>
      <c r="M41" s="234"/>
      <c r="N41" s="234"/>
      <c r="O41" s="234"/>
      <c r="P41" s="234"/>
      <c r="Q41" s="234"/>
      <c r="R41" s="234"/>
      <c r="S41" s="234"/>
      <c r="T41" s="46" t="s">
        <v>402</v>
      </c>
      <c r="U41" s="44"/>
      <c r="V41" s="171"/>
      <c r="W41" s="171" t="str">
        <f>'[1]bang gia'!$C$46</f>
        <v>đồng/cây</v>
      </c>
      <c r="X41" s="175">
        <v>1</v>
      </c>
      <c r="Y41" s="45">
        <v>4500000</v>
      </c>
      <c r="Z41" s="33"/>
      <c r="AA41" s="39">
        <v>0</v>
      </c>
      <c r="AB41" s="40">
        <f>X41*Y41*AA41</f>
        <v>0</v>
      </c>
      <c r="AC41" s="235"/>
      <c r="AD41" s="235"/>
    </row>
    <row r="42" spans="1:255" s="42" customFormat="1" ht="37.5" customHeight="1">
      <c r="A42" s="229"/>
      <c r="B42" s="267"/>
      <c r="C42" s="267"/>
      <c r="D42" s="267"/>
      <c r="E42" s="268"/>
      <c r="F42" s="268"/>
      <c r="G42" s="232"/>
      <c r="H42" s="232"/>
      <c r="I42" s="307"/>
      <c r="J42" s="232"/>
      <c r="K42" s="33"/>
      <c r="L42" s="233"/>
      <c r="M42" s="234"/>
      <c r="N42" s="234"/>
      <c r="O42" s="234"/>
      <c r="P42" s="234"/>
      <c r="Q42" s="234"/>
      <c r="R42" s="234"/>
      <c r="S42" s="234"/>
      <c r="T42" s="43" t="s">
        <v>704</v>
      </c>
      <c r="U42" s="44">
        <v>3.85</v>
      </c>
      <c r="V42" s="170">
        <f>180/U42*0.3</f>
        <v>14.025974025974024</v>
      </c>
      <c r="W42" s="171" t="str">
        <f>'[1]bang gia'!$C$46</f>
        <v>đồng/cây</v>
      </c>
      <c r="X42" s="175">
        <v>20</v>
      </c>
      <c r="Y42" s="45"/>
      <c r="Z42" s="33"/>
      <c r="AA42" s="39"/>
      <c r="AB42" s="40"/>
      <c r="AC42" s="235"/>
      <c r="AD42" s="235"/>
    </row>
    <row r="43" spans="1:255" s="42" customFormat="1" ht="21" customHeight="1">
      <c r="A43" s="229"/>
      <c r="B43" s="267"/>
      <c r="C43" s="267"/>
      <c r="D43" s="267"/>
      <c r="E43" s="268"/>
      <c r="F43" s="268"/>
      <c r="G43" s="232"/>
      <c r="H43" s="232"/>
      <c r="I43" s="307"/>
      <c r="J43" s="232"/>
      <c r="K43" s="33"/>
      <c r="L43" s="233"/>
      <c r="M43" s="234"/>
      <c r="N43" s="234"/>
      <c r="O43" s="234"/>
      <c r="P43" s="234"/>
      <c r="Q43" s="234"/>
      <c r="R43" s="234"/>
      <c r="S43" s="234"/>
      <c r="T43" s="46" t="s">
        <v>401</v>
      </c>
      <c r="U43" s="44"/>
      <c r="V43" s="170"/>
      <c r="W43" s="171" t="str">
        <f>'[1]bang gia'!$C$46</f>
        <v>đồng/cây</v>
      </c>
      <c r="X43" s="175">
        <v>14</v>
      </c>
      <c r="Y43" s="45">
        <v>200000</v>
      </c>
      <c r="Z43" s="33"/>
      <c r="AA43" s="39">
        <v>0.3</v>
      </c>
      <c r="AB43" s="40">
        <f>X43*Y43*AA43</f>
        <v>840000</v>
      </c>
      <c r="AC43" s="235"/>
      <c r="AD43" s="235"/>
    </row>
    <row r="44" spans="1:255" s="42" customFormat="1" ht="21" customHeight="1">
      <c r="A44" s="229"/>
      <c r="B44" s="267"/>
      <c r="C44" s="267"/>
      <c r="D44" s="267"/>
      <c r="E44" s="268"/>
      <c r="F44" s="268"/>
      <c r="G44" s="232"/>
      <c r="H44" s="232"/>
      <c r="I44" s="307"/>
      <c r="J44" s="232"/>
      <c r="K44" s="33"/>
      <c r="L44" s="233"/>
      <c r="M44" s="234"/>
      <c r="N44" s="234"/>
      <c r="O44" s="234"/>
      <c r="P44" s="234"/>
      <c r="Q44" s="234"/>
      <c r="R44" s="234"/>
      <c r="S44" s="234"/>
      <c r="T44" s="46" t="s">
        <v>402</v>
      </c>
      <c r="U44" s="44"/>
      <c r="V44" s="170"/>
      <c r="W44" s="171" t="str">
        <f>'[1]bang gia'!$C$46</f>
        <v>đồng/cây</v>
      </c>
      <c r="X44" s="175">
        <f>X42-X43</f>
        <v>6</v>
      </c>
      <c r="Y44" s="45">
        <v>200000</v>
      </c>
      <c r="Z44" s="33"/>
      <c r="AA44" s="39">
        <v>0</v>
      </c>
      <c r="AB44" s="40">
        <f>X44*Y44*AA44</f>
        <v>0</v>
      </c>
      <c r="AC44" s="235"/>
      <c r="AD44" s="235"/>
    </row>
    <row r="45" spans="1:255" s="42" customFormat="1" ht="21" customHeight="1">
      <c r="A45" s="229"/>
      <c r="B45" s="267"/>
      <c r="C45" s="267"/>
      <c r="D45" s="267"/>
      <c r="E45" s="268"/>
      <c r="F45" s="268"/>
      <c r="G45" s="232"/>
      <c r="H45" s="232"/>
      <c r="I45" s="307"/>
      <c r="J45" s="232"/>
      <c r="K45" s="33"/>
      <c r="L45" s="233"/>
      <c r="M45" s="234"/>
      <c r="N45" s="234"/>
      <c r="O45" s="234"/>
      <c r="P45" s="234"/>
      <c r="Q45" s="234"/>
      <c r="R45" s="234"/>
      <c r="S45" s="234"/>
      <c r="T45" s="43" t="s">
        <v>514</v>
      </c>
      <c r="U45" s="44"/>
      <c r="V45" s="171"/>
      <c r="W45" s="171" t="str">
        <f>'[1]bang gia'!$C$46</f>
        <v>đồng/cây</v>
      </c>
      <c r="X45" s="175">
        <v>7</v>
      </c>
      <c r="Y45" s="45">
        <v>500000</v>
      </c>
      <c r="Z45" s="33"/>
      <c r="AA45" s="39">
        <v>0</v>
      </c>
      <c r="AB45" s="40">
        <f>X45*Y45*AA45</f>
        <v>0</v>
      </c>
      <c r="AC45" s="235"/>
      <c r="AD45" s="235"/>
    </row>
    <row r="46" spans="1:255" s="42" customFormat="1" ht="21" customHeight="1">
      <c r="A46" s="229"/>
      <c r="B46" s="267"/>
      <c r="C46" s="267"/>
      <c r="D46" s="267"/>
      <c r="E46" s="268"/>
      <c r="F46" s="268"/>
      <c r="G46" s="232"/>
      <c r="H46" s="232"/>
      <c r="I46" s="307"/>
      <c r="J46" s="232"/>
      <c r="K46" s="33"/>
      <c r="L46" s="233"/>
      <c r="M46" s="234"/>
      <c r="N46" s="234"/>
      <c r="O46" s="234"/>
      <c r="P46" s="234"/>
      <c r="Q46" s="234"/>
      <c r="R46" s="234"/>
      <c r="S46" s="234"/>
      <c r="T46" s="47" t="s">
        <v>515</v>
      </c>
      <c r="U46" s="163"/>
      <c r="V46" s="35"/>
      <c r="W46" s="163" t="s">
        <v>7</v>
      </c>
      <c r="X46" s="40"/>
      <c r="Y46" s="161"/>
      <c r="Z46" s="33"/>
      <c r="AA46" s="39">
        <v>0</v>
      </c>
      <c r="AB46" s="175">
        <v>0</v>
      </c>
      <c r="AC46" s="235"/>
      <c r="AD46" s="235"/>
    </row>
    <row r="47" spans="1:255" s="42" customFormat="1" ht="39" customHeight="1">
      <c r="A47" s="229">
        <v>4</v>
      </c>
      <c r="B47" s="278" t="s">
        <v>516</v>
      </c>
      <c r="C47" s="267">
        <v>64</v>
      </c>
      <c r="D47" s="267">
        <v>801</v>
      </c>
      <c r="E47" s="268">
        <v>971.9</v>
      </c>
      <c r="F47" s="268" t="s">
        <v>393</v>
      </c>
      <c r="G47" s="232">
        <v>1080</v>
      </c>
      <c r="H47" s="232">
        <f>E47-G47</f>
        <v>-108.10000000000002</v>
      </c>
      <c r="I47" s="307">
        <v>1080</v>
      </c>
      <c r="J47" s="232">
        <v>1440</v>
      </c>
      <c r="K47" s="33"/>
      <c r="L47" s="233">
        <f>(I63+I47)/J47*100</f>
        <v>100</v>
      </c>
      <c r="M47" s="234">
        <f>IF(L47&lt;10,2,IF(L47&lt;20,3,IF(L47&lt;30,5,IF(L47&gt;=70,12,IF(L47&gt;=30,6)))))</f>
        <v>12</v>
      </c>
      <c r="N47" s="234">
        <v>5</v>
      </c>
      <c r="O47" s="234">
        <f>$O$7</f>
        <v>80000</v>
      </c>
      <c r="P47" s="234">
        <f>(I63+I47)*O47</f>
        <v>115200000</v>
      </c>
      <c r="Q47" s="234">
        <f>$Q$7*(I63+I47)</f>
        <v>345600000</v>
      </c>
      <c r="R47" s="234">
        <f>M47*N47*R7</f>
        <v>30600000</v>
      </c>
      <c r="S47" s="234">
        <f>R47+Q47+P47</f>
        <v>491400000</v>
      </c>
      <c r="T47" s="34" t="s">
        <v>702</v>
      </c>
      <c r="U47" s="35"/>
      <c r="V47" s="171"/>
      <c r="W47" s="37" t="s">
        <v>0</v>
      </c>
      <c r="X47" s="175">
        <v>400</v>
      </c>
      <c r="Y47" s="175">
        <v>97000</v>
      </c>
      <c r="Z47" s="33"/>
      <c r="AA47" s="39">
        <v>1</v>
      </c>
      <c r="AB47" s="40">
        <f>X47*Y47*AA47</f>
        <v>38800000</v>
      </c>
      <c r="AC47" s="235">
        <f>SUM(AB47:AB62)</f>
        <v>176650000</v>
      </c>
      <c r="AD47" s="235">
        <f>AC47+AC63+S47</f>
        <v>714760000</v>
      </c>
      <c r="AE47" s="275" t="s">
        <v>492</v>
      </c>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row>
    <row r="48" spans="1:255" s="42" customFormat="1" ht="40.5" customHeight="1">
      <c r="A48" s="229"/>
      <c r="B48" s="278"/>
      <c r="C48" s="267"/>
      <c r="D48" s="267"/>
      <c r="E48" s="268"/>
      <c r="F48" s="268"/>
      <c r="G48" s="232"/>
      <c r="H48" s="232"/>
      <c r="I48" s="307"/>
      <c r="J48" s="232"/>
      <c r="K48" s="33"/>
      <c r="L48" s="233"/>
      <c r="M48" s="234"/>
      <c r="N48" s="234"/>
      <c r="O48" s="234"/>
      <c r="P48" s="234"/>
      <c r="Q48" s="234"/>
      <c r="R48" s="234"/>
      <c r="S48" s="234"/>
      <c r="T48" s="43" t="s">
        <v>691</v>
      </c>
      <c r="U48" s="35">
        <v>25</v>
      </c>
      <c r="V48" s="170">
        <v>26.6</v>
      </c>
      <c r="W48" s="171" t="str">
        <f>'[1]bang gia'!$C$46</f>
        <v>đồng/cây</v>
      </c>
      <c r="X48" s="175">
        <v>31</v>
      </c>
      <c r="Y48" s="45"/>
      <c r="Z48" s="33"/>
      <c r="AA48" s="39"/>
      <c r="AB48" s="40"/>
      <c r="AC48" s="235"/>
      <c r="AD48" s="235"/>
      <c r="AE48" s="276"/>
    </row>
    <row r="49" spans="1:255" s="42" customFormat="1" ht="25.5" customHeight="1">
      <c r="A49" s="229"/>
      <c r="B49" s="278"/>
      <c r="C49" s="267"/>
      <c r="D49" s="267"/>
      <c r="E49" s="268"/>
      <c r="F49" s="268"/>
      <c r="G49" s="232"/>
      <c r="H49" s="232"/>
      <c r="I49" s="307"/>
      <c r="J49" s="232"/>
      <c r="K49" s="33"/>
      <c r="L49" s="233"/>
      <c r="M49" s="234"/>
      <c r="N49" s="234"/>
      <c r="O49" s="234"/>
      <c r="P49" s="234"/>
      <c r="Q49" s="234"/>
      <c r="R49" s="234"/>
      <c r="S49" s="234"/>
      <c r="T49" s="46" t="s">
        <v>399</v>
      </c>
      <c r="U49" s="35"/>
      <c r="V49" s="171"/>
      <c r="W49" s="171" t="str">
        <f>'[1]bang gia'!$C$46</f>
        <v>đồng/cây</v>
      </c>
      <c r="X49" s="175">
        <v>27</v>
      </c>
      <c r="Y49" s="45">
        <v>4500000</v>
      </c>
      <c r="Z49" s="33"/>
      <c r="AA49" s="39">
        <v>1</v>
      </c>
      <c r="AB49" s="40">
        <f>X49*Y49*AA49</f>
        <v>121500000</v>
      </c>
      <c r="AC49" s="235"/>
      <c r="AD49" s="235"/>
      <c r="AE49" s="276"/>
    </row>
    <row r="50" spans="1:255" s="42" customFormat="1" ht="25.5" customHeight="1">
      <c r="A50" s="229"/>
      <c r="B50" s="278"/>
      <c r="C50" s="267"/>
      <c r="D50" s="267"/>
      <c r="E50" s="268"/>
      <c r="F50" s="268"/>
      <c r="G50" s="232"/>
      <c r="H50" s="232"/>
      <c r="I50" s="307"/>
      <c r="J50" s="232"/>
      <c r="K50" s="33"/>
      <c r="L50" s="233"/>
      <c r="M50" s="234"/>
      <c r="N50" s="234"/>
      <c r="O50" s="234"/>
      <c r="P50" s="234"/>
      <c r="Q50" s="234"/>
      <c r="R50" s="234"/>
      <c r="S50" s="234"/>
      <c r="T50" s="46" t="s">
        <v>401</v>
      </c>
      <c r="U50" s="35"/>
      <c r="V50" s="171">
        <f>(X48-X49)*0.3</f>
        <v>1.2</v>
      </c>
      <c r="W50" s="171" t="str">
        <f>'[1]bang gia'!$C$46</f>
        <v>đồng/cây</v>
      </c>
      <c r="X50" s="175">
        <v>1</v>
      </c>
      <c r="Y50" s="45">
        <v>4500000</v>
      </c>
      <c r="Z50" s="33"/>
      <c r="AA50" s="39">
        <v>0.3</v>
      </c>
      <c r="AB50" s="40">
        <f>X50*Y50*AA50</f>
        <v>1350000</v>
      </c>
      <c r="AC50" s="235"/>
      <c r="AD50" s="235"/>
    </row>
    <row r="51" spans="1:255" s="42" customFormat="1" ht="25.5" customHeight="1">
      <c r="A51" s="229"/>
      <c r="B51" s="278"/>
      <c r="C51" s="267"/>
      <c r="D51" s="267"/>
      <c r="E51" s="268"/>
      <c r="F51" s="268"/>
      <c r="G51" s="232"/>
      <c r="H51" s="232"/>
      <c r="I51" s="307"/>
      <c r="J51" s="232"/>
      <c r="K51" s="33"/>
      <c r="L51" s="233"/>
      <c r="M51" s="234"/>
      <c r="N51" s="234"/>
      <c r="O51" s="234"/>
      <c r="P51" s="234"/>
      <c r="Q51" s="234"/>
      <c r="R51" s="234"/>
      <c r="S51" s="234"/>
      <c r="T51" s="46" t="s">
        <v>402</v>
      </c>
      <c r="U51" s="44"/>
      <c r="V51" s="171"/>
      <c r="W51" s="171" t="str">
        <f>'[1]bang gia'!$C$46</f>
        <v>đồng/cây</v>
      </c>
      <c r="X51" s="175">
        <f>X48-X49-X50</f>
        <v>3</v>
      </c>
      <c r="Y51" s="45">
        <v>4500000</v>
      </c>
      <c r="Z51" s="33"/>
      <c r="AA51" s="39">
        <v>0</v>
      </c>
      <c r="AB51" s="40">
        <f>X51*Y51*AA51</f>
        <v>0</v>
      </c>
      <c r="AC51" s="235"/>
      <c r="AD51" s="235"/>
    </row>
    <row r="52" spans="1:255" s="42" customFormat="1" ht="40.5" customHeight="1">
      <c r="A52" s="229"/>
      <c r="B52" s="278"/>
      <c r="C52" s="267"/>
      <c r="D52" s="267"/>
      <c r="E52" s="268"/>
      <c r="F52" s="268"/>
      <c r="G52" s="232"/>
      <c r="H52" s="232"/>
      <c r="I52" s="307"/>
      <c r="J52" s="232"/>
      <c r="K52" s="33"/>
      <c r="L52" s="233"/>
      <c r="M52" s="234"/>
      <c r="N52" s="234"/>
      <c r="O52" s="234"/>
      <c r="P52" s="234"/>
      <c r="Q52" s="234"/>
      <c r="R52" s="234"/>
      <c r="S52" s="234"/>
      <c r="T52" s="43" t="s">
        <v>705</v>
      </c>
      <c r="U52" s="44">
        <v>20</v>
      </c>
      <c r="V52" s="170">
        <f>(G47-X47-V57-V58)/20*0.3</f>
        <v>9.9659999999999993</v>
      </c>
      <c r="W52" s="171" t="str">
        <f>'[1]bang gia'!$C$46</f>
        <v>đồng/cây</v>
      </c>
      <c r="X52" s="175">
        <v>25</v>
      </c>
      <c r="Y52" s="45"/>
      <c r="Z52" s="33"/>
      <c r="AA52" s="39"/>
      <c r="AB52" s="40"/>
      <c r="AC52" s="235"/>
      <c r="AD52" s="235"/>
    </row>
    <row r="53" spans="1:255" s="42" customFormat="1" ht="27" customHeight="1">
      <c r="A53" s="229"/>
      <c r="B53" s="278"/>
      <c r="C53" s="267"/>
      <c r="D53" s="267"/>
      <c r="E53" s="268"/>
      <c r="F53" s="268"/>
      <c r="G53" s="232"/>
      <c r="H53" s="232"/>
      <c r="I53" s="307"/>
      <c r="J53" s="232"/>
      <c r="K53" s="33"/>
      <c r="L53" s="233"/>
      <c r="M53" s="234"/>
      <c r="N53" s="234"/>
      <c r="O53" s="234"/>
      <c r="P53" s="234"/>
      <c r="Q53" s="234"/>
      <c r="R53" s="234"/>
      <c r="S53" s="234"/>
      <c r="T53" s="46" t="s">
        <v>401</v>
      </c>
      <c r="U53" s="44"/>
      <c r="V53" s="171"/>
      <c r="W53" s="171" t="str">
        <f>'[1]bang gia'!$C$46</f>
        <v>đồng/cây</v>
      </c>
      <c r="X53" s="175">
        <v>10</v>
      </c>
      <c r="Y53" s="45">
        <v>2500000</v>
      </c>
      <c r="Z53" s="33"/>
      <c r="AA53" s="39">
        <v>0.3</v>
      </c>
      <c r="AB53" s="40">
        <f>X53*Y53*AA53</f>
        <v>7500000</v>
      </c>
      <c r="AC53" s="235"/>
      <c r="AD53" s="235"/>
    </row>
    <row r="54" spans="1:255" s="42" customFormat="1" ht="27" customHeight="1">
      <c r="A54" s="229"/>
      <c r="B54" s="278"/>
      <c r="C54" s="267"/>
      <c r="D54" s="267"/>
      <c r="E54" s="268"/>
      <c r="F54" s="268"/>
      <c r="G54" s="232"/>
      <c r="H54" s="232"/>
      <c r="I54" s="307"/>
      <c r="J54" s="232"/>
      <c r="K54" s="33"/>
      <c r="L54" s="233"/>
      <c r="M54" s="234"/>
      <c r="N54" s="234"/>
      <c r="O54" s="234"/>
      <c r="P54" s="234"/>
      <c r="Q54" s="234"/>
      <c r="R54" s="234"/>
      <c r="S54" s="234"/>
      <c r="T54" s="46" t="s">
        <v>402</v>
      </c>
      <c r="U54" s="44"/>
      <c r="V54" s="171"/>
      <c r="W54" s="171" t="str">
        <f>'[1]bang gia'!$C$46</f>
        <v>đồng/cây</v>
      </c>
      <c r="X54" s="175">
        <f>X52-X53</f>
        <v>15</v>
      </c>
      <c r="Y54" s="45">
        <v>2500000</v>
      </c>
      <c r="Z54" s="33"/>
      <c r="AA54" s="39">
        <v>0</v>
      </c>
      <c r="AB54" s="40">
        <f>X54*Y54*AA54</f>
        <v>0</v>
      </c>
      <c r="AC54" s="235"/>
      <c r="AD54" s="235"/>
    </row>
    <row r="55" spans="1:255" s="42" customFormat="1" ht="39.75" customHeight="1">
      <c r="A55" s="229"/>
      <c r="B55" s="278"/>
      <c r="C55" s="267"/>
      <c r="D55" s="267"/>
      <c r="E55" s="268"/>
      <c r="F55" s="268"/>
      <c r="G55" s="232"/>
      <c r="H55" s="232"/>
      <c r="I55" s="307"/>
      <c r="J55" s="232"/>
      <c r="K55" s="33"/>
      <c r="L55" s="233"/>
      <c r="M55" s="234"/>
      <c r="N55" s="234"/>
      <c r="O55" s="234"/>
      <c r="P55" s="234"/>
      <c r="Q55" s="234"/>
      <c r="R55" s="234"/>
      <c r="S55" s="234"/>
      <c r="T55" s="43" t="s">
        <v>706</v>
      </c>
      <c r="U55" s="44"/>
      <c r="V55" s="171"/>
      <c r="W55" s="171" t="str">
        <f>'[1]bang gia'!$C$46</f>
        <v>đồng/cây</v>
      </c>
      <c r="X55" s="175">
        <v>10</v>
      </c>
      <c r="Y55" s="45">
        <v>200000</v>
      </c>
      <c r="Z55" s="33"/>
      <c r="AA55" s="39">
        <v>0</v>
      </c>
      <c r="AB55" s="40">
        <f>X55*Y55*AA55</f>
        <v>0</v>
      </c>
      <c r="AC55" s="235"/>
      <c r="AD55" s="235"/>
    </row>
    <row r="56" spans="1:255" s="42" customFormat="1" ht="42.75" customHeight="1">
      <c r="A56" s="229"/>
      <c r="B56" s="278"/>
      <c r="C56" s="267"/>
      <c r="D56" s="267"/>
      <c r="E56" s="268"/>
      <c r="F56" s="268"/>
      <c r="G56" s="232"/>
      <c r="H56" s="232"/>
      <c r="I56" s="307"/>
      <c r="J56" s="232"/>
      <c r="K56" s="33"/>
      <c r="L56" s="233"/>
      <c r="M56" s="234"/>
      <c r="N56" s="234"/>
      <c r="O56" s="234"/>
      <c r="P56" s="234"/>
      <c r="Q56" s="234"/>
      <c r="R56" s="234"/>
      <c r="S56" s="234"/>
      <c r="T56" s="43" t="s">
        <v>651</v>
      </c>
      <c r="U56" s="44"/>
      <c r="V56" s="171"/>
      <c r="W56" s="171" t="s">
        <v>6</v>
      </c>
      <c r="X56" s="40">
        <v>250</v>
      </c>
      <c r="Y56" s="45">
        <v>30000</v>
      </c>
      <c r="Z56" s="33"/>
      <c r="AA56" s="39">
        <v>1</v>
      </c>
      <c r="AB56" s="40">
        <f>X56*Y56*AA56</f>
        <v>7500000</v>
      </c>
      <c r="AC56" s="235"/>
      <c r="AD56" s="235"/>
    </row>
    <row r="57" spans="1:255" s="42" customFormat="1" ht="26.25" customHeight="1">
      <c r="A57" s="229"/>
      <c r="B57" s="278"/>
      <c r="C57" s="267"/>
      <c r="D57" s="267"/>
      <c r="E57" s="268"/>
      <c r="F57" s="268"/>
      <c r="G57" s="232"/>
      <c r="H57" s="232"/>
      <c r="I57" s="307"/>
      <c r="J57" s="232"/>
      <c r="K57" s="33"/>
      <c r="L57" s="233"/>
      <c r="M57" s="234"/>
      <c r="N57" s="234"/>
      <c r="O57" s="234"/>
      <c r="P57" s="234"/>
      <c r="Q57" s="234"/>
      <c r="R57" s="234"/>
      <c r="S57" s="234"/>
      <c r="T57" s="49" t="s">
        <v>519</v>
      </c>
      <c r="U57" s="35"/>
      <c r="V57" s="35">
        <v>9.6</v>
      </c>
      <c r="W57" s="35" t="s">
        <v>6</v>
      </c>
      <c r="X57" s="53">
        <v>9.6</v>
      </c>
      <c r="Y57" s="175"/>
      <c r="Z57" s="33"/>
      <c r="AA57" s="39">
        <v>0</v>
      </c>
      <c r="AB57" s="175">
        <v>0</v>
      </c>
      <c r="AC57" s="235"/>
      <c r="AD57" s="235"/>
    </row>
    <row r="58" spans="1:255" s="42" customFormat="1" ht="36" customHeight="1">
      <c r="A58" s="229"/>
      <c r="B58" s="278"/>
      <c r="C58" s="267"/>
      <c r="D58" s="267"/>
      <c r="E58" s="268"/>
      <c r="F58" s="268"/>
      <c r="G58" s="232"/>
      <c r="H58" s="232"/>
      <c r="I58" s="307"/>
      <c r="J58" s="232"/>
      <c r="K58" s="33"/>
      <c r="L58" s="233"/>
      <c r="M58" s="234"/>
      <c r="N58" s="234"/>
      <c r="O58" s="234"/>
      <c r="P58" s="234"/>
      <c r="Q58" s="234"/>
      <c r="R58" s="234"/>
      <c r="S58" s="234"/>
      <c r="T58" s="49" t="s">
        <v>520</v>
      </c>
      <c r="U58" s="35"/>
      <c r="V58" s="35">
        <v>6</v>
      </c>
      <c r="W58" s="35" t="s">
        <v>6</v>
      </c>
      <c r="X58" s="40">
        <v>6</v>
      </c>
      <c r="Y58" s="175"/>
      <c r="Z58" s="33"/>
      <c r="AA58" s="39">
        <v>0</v>
      </c>
      <c r="AB58" s="175">
        <v>0</v>
      </c>
      <c r="AC58" s="235"/>
      <c r="AD58" s="235"/>
    </row>
    <row r="59" spans="1:255" s="42" customFormat="1" ht="42" customHeight="1">
      <c r="A59" s="229"/>
      <c r="B59" s="278"/>
      <c r="C59" s="267"/>
      <c r="D59" s="267"/>
      <c r="E59" s="268"/>
      <c r="F59" s="268"/>
      <c r="G59" s="232"/>
      <c r="H59" s="232"/>
      <c r="I59" s="307"/>
      <c r="J59" s="232"/>
      <c r="K59" s="33"/>
      <c r="L59" s="233"/>
      <c r="M59" s="234"/>
      <c r="N59" s="234"/>
      <c r="O59" s="234"/>
      <c r="P59" s="234"/>
      <c r="Q59" s="234"/>
      <c r="R59" s="234"/>
      <c r="S59" s="234"/>
      <c r="T59" s="47" t="s">
        <v>521</v>
      </c>
      <c r="U59" s="163"/>
      <c r="V59" s="35"/>
      <c r="W59" s="35" t="s">
        <v>522</v>
      </c>
      <c r="X59" s="40" t="s">
        <v>523</v>
      </c>
      <c r="Y59" s="175"/>
      <c r="Z59" s="33"/>
      <c r="AA59" s="39">
        <v>0</v>
      </c>
      <c r="AB59" s="175">
        <v>0</v>
      </c>
      <c r="AC59" s="235"/>
      <c r="AD59" s="235"/>
    </row>
    <row r="60" spans="1:255" s="42" customFormat="1" ht="27" customHeight="1">
      <c r="A60" s="229"/>
      <c r="B60" s="278"/>
      <c r="C60" s="267"/>
      <c r="D60" s="267"/>
      <c r="E60" s="268"/>
      <c r="F60" s="268"/>
      <c r="G60" s="232"/>
      <c r="H60" s="232"/>
      <c r="I60" s="307"/>
      <c r="J60" s="232"/>
      <c r="K60" s="33"/>
      <c r="L60" s="233"/>
      <c r="M60" s="234"/>
      <c r="N60" s="234"/>
      <c r="O60" s="234"/>
      <c r="P60" s="234"/>
      <c r="Q60" s="234"/>
      <c r="R60" s="234"/>
      <c r="S60" s="234"/>
      <c r="T60" s="47" t="s">
        <v>524</v>
      </c>
      <c r="U60" s="163"/>
      <c r="V60" s="35"/>
      <c r="W60" s="163" t="s">
        <v>7</v>
      </c>
      <c r="X60" s="40"/>
      <c r="Y60" s="161"/>
      <c r="Z60" s="33"/>
      <c r="AA60" s="39">
        <v>0</v>
      </c>
      <c r="AB60" s="175">
        <v>0</v>
      </c>
      <c r="AC60" s="235"/>
      <c r="AD60" s="235"/>
    </row>
    <row r="61" spans="1:255" s="42" customFormat="1" ht="27" customHeight="1">
      <c r="A61" s="229"/>
      <c r="B61" s="278"/>
      <c r="C61" s="267"/>
      <c r="D61" s="267"/>
      <c r="E61" s="268"/>
      <c r="F61" s="268"/>
      <c r="G61" s="232"/>
      <c r="H61" s="232"/>
      <c r="I61" s="307"/>
      <c r="J61" s="232"/>
      <c r="K61" s="33"/>
      <c r="L61" s="233"/>
      <c r="M61" s="234"/>
      <c r="N61" s="234"/>
      <c r="O61" s="234"/>
      <c r="P61" s="234"/>
      <c r="Q61" s="234"/>
      <c r="R61" s="234"/>
      <c r="S61" s="234"/>
      <c r="T61" s="49" t="s">
        <v>525</v>
      </c>
      <c r="U61" s="35"/>
      <c r="V61" s="35"/>
      <c r="W61" s="35" t="s">
        <v>395</v>
      </c>
      <c r="X61" s="40">
        <v>1</v>
      </c>
      <c r="Y61" s="175"/>
      <c r="Z61" s="33"/>
      <c r="AA61" s="39">
        <v>0</v>
      </c>
      <c r="AB61" s="40">
        <f t="shared" ref="AB61:AB68" si="3">X61*Y61*AA61</f>
        <v>0</v>
      </c>
      <c r="AC61" s="235"/>
      <c r="AD61" s="235"/>
    </row>
    <row r="62" spans="1:255" s="42" customFormat="1" ht="27" customHeight="1">
      <c r="A62" s="229"/>
      <c r="B62" s="278"/>
      <c r="C62" s="267"/>
      <c r="D62" s="267"/>
      <c r="E62" s="268"/>
      <c r="F62" s="268"/>
      <c r="G62" s="232"/>
      <c r="H62" s="232"/>
      <c r="I62" s="307"/>
      <c r="J62" s="232"/>
      <c r="K62" s="33"/>
      <c r="L62" s="233"/>
      <c r="M62" s="234"/>
      <c r="N62" s="234"/>
      <c r="O62" s="234"/>
      <c r="P62" s="234"/>
      <c r="Q62" s="234"/>
      <c r="R62" s="234"/>
      <c r="S62" s="234"/>
      <c r="T62" s="49" t="s">
        <v>526</v>
      </c>
      <c r="U62" s="35"/>
      <c r="V62" s="171"/>
      <c r="W62" s="171" t="s">
        <v>501</v>
      </c>
      <c r="X62" s="50"/>
      <c r="Y62" s="175"/>
      <c r="Z62" s="33"/>
      <c r="AA62" s="39">
        <v>0</v>
      </c>
      <c r="AB62" s="175">
        <v>0</v>
      </c>
      <c r="AC62" s="235"/>
      <c r="AD62" s="235"/>
    </row>
    <row r="63" spans="1:255" s="42" customFormat="1" ht="40.5" customHeight="1">
      <c r="A63" s="229"/>
      <c r="B63" s="278"/>
      <c r="C63" s="267">
        <v>64</v>
      </c>
      <c r="D63" s="267">
        <v>398</v>
      </c>
      <c r="E63" s="268">
        <v>360.7</v>
      </c>
      <c r="F63" s="268" t="s">
        <v>393</v>
      </c>
      <c r="G63" s="232">
        <v>360</v>
      </c>
      <c r="H63" s="232">
        <f>E63-G63</f>
        <v>0.69999999999998863</v>
      </c>
      <c r="I63" s="307">
        <v>360</v>
      </c>
      <c r="J63" s="232"/>
      <c r="K63" s="33"/>
      <c r="L63" s="233"/>
      <c r="M63" s="234"/>
      <c r="N63" s="234"/>
      <c r="O63" s="234"/>
      <c r="P63" s="234"/>
      <c r="Q63" s="234"/>
      <c r="R63" s="234"/>
      <c r="S63" s="234"/>
      <c r="T63" s="34" t="s">
        <v>702</v>
      </c>
      <c r="U63" s="35"/>
      <c r="V63" s="171"/>
      <c r="W63" s="37" t="s">
        <v>0</v>
      </c>
      <c r="X63" s="175">
        <v>180</v>
      </c>
      <c r="Y63" s="175">
        <v>97000</v>
      </c>
      <c r="Z63" s="33"/>
      <c r="AA63" s="39">
        <v>1</v>
      </c>
      <c r="AB63" s="40">
        <f t="shared" si="3"/>
        <v>17460000</v>
      </c>
      <c r="AC63" s="235">
        <f>SUM(AB63:AB69)</f>
        <v>46710000</v>
      </c>
      <c r="AD63" s="235"/>
      <c r="AE63" s="275" t="s">
        <v>497</v>
      </c>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row>
    <row r="64" spans="1:255" s="42" customFormat="1" ht="36" customHeight="1">
      <c r="A64" s="229"/>
      <c r="B64" s="278"/>
      <c r="C64" s="267"/>
      <c r="D64" s="267"/>
      <c r="E64" s="268"/>
      <c r="F64" s="268"/>
      <c r="G64" s="232"/>
      <c r="H64" s="232"/>
      <c r="I64" s="307"/>
      <c r="J64" s="232"/>
      <c r="K64" s="33"/>
      <c r="L64" s="233"/>
      <c r="M64" s="234"/>
      <c r="N64" s="234"/>
      <c r="O64" s="234"/>
      <c r="P64" s="234"/>
      <c r="Q64" s="234"/>
      <c r="R64" s="234"/>
      <c r="S64" s="234"/>
      <c r="T64" s="43" t="s">
        <v>707</v>
      </c>
      <c r="U64" s="44">
        <v>20</v>
      </c>
      <c r="V64" s="171">
        <f>(G63-X63)/20</f>
        <v>9</v>
      </c>
      <c r="W64" s="171" t="str">
        <f>'[1]bang gia'!$C$46</f>
        <v>đồng/cây</v>
      </c>
      <c r="X64" s="175">
        <v>15</v>
      </c>
      <c r="Y64" s="45"/>
      <c r="Z64" s="33"/>
      <c r="AA64" s="39"/>
      <c r="AB64" s="40"/>
      <c r="AC64" s="235"/>
      <c r="AD64" s="235"/>
      <c r="AE64" s="276"/>
    </row>
    <row r="65" spans="1:255" s="42" customFormat="1" ht="25.5" customHeight="1">
      <c r="A65" s="229"/>
      <c r="B65" s="278"/>
      <c r="C65" s="267"/>
      <c r="D65" s="267"/>
      <c r="E65" s="268"/>
      <c r="F65" s="268"/>
      <c r="G65" s="232"/>
      <c r="H65" s="232"/>
      <c r="I65" s="307"/>
      <c r="J65" s="232"/>
      <c r="K65" s="33"/>
      <c r="L65" s="233"/>
      <c r="M65" s="234"/>
      <c r="N65" s="234"/>
      <c r="O65" s="234"/>
      <c r="P65" s="234"/>
      <c r="Q65" s="234"/>
      <c r="R65" s="234"/>
      <c r="S65" s="234"/>
      <c r="T65" s="46" t="s">
        <v>399</v>
      </c>
      <c r="U65" s="44"/>
      <c r="V65" s="171"/>
      <c r="W65" s="171" t="str">
        <f>'[1]bang gia'!$C$46</f>
        <v>đồng/cây</v>
      </c>
      <c r="X65" s="175">
        <v>9</v>
      </c>
      <c r="Y65" s="45">
        <v>2500000</v>
      </c>
      <c r="Z65" s="33"/>
      <c r="AA65" s="39">
        <v>1</v>
      </c>
      <c r="AB65" s="40">
        <f t="shared" si="3"/>
        <v>22500000</v>
      </c>
      <c r="AC65" s="235"/>
      <c r="AD65" s="235"/>
      <c r="AE65" s="276"/>
    </row>
    <row r="66" spans="1:255" s="42" customFormat="1" ht="27" customHeight="1">
      <c r="A66" s="229"/>
      <c r="B66" s="278"/>
      <c r="C66" s="267"/>
      <c r="D66" s="267"/>
      <c r="E66" s="268"/>
      <c r="F66" s="268"/>
      <c r="G66" s="232"/>
      <c r="H66" s="232"/>
      <c r="I66" s="307"/>
      <c r="J66" s="232"/>
      <c r="K66" s="33"/>
      <c r="L66" s="233"/>
      <c r="M66" s="234"/>
      <c r="N66" s="234"/>
      <c r="O66" s="234"/>
      <c r="P66" s="234"/>
      <c r="Q66" s="234"/>
      <c r="R66" s="234"/>
      <c r="S66" s="234"/>
      <c r="T66" s="46" t="s">
        <v>401</v>
      </c>
      <c r="U66" s="44"/>
      <c r="V66" s="175">
        <f>X65*0.3</f>
        <v>2.6999999999999997</v>
      </c>
      <c r="W66" s="171" t="str">
        <f>'[1]bang gia'!$C$46</f>
        <v>đồng/cây</v>
      </c>
      <c r="X66" s="175">
        <v>3</v>
      </c>
      <c r="Y66" s="45">
        <v>2500000</v>
      </c>
      <c r="Z66" s="33"/>
      <c r="AA66" s="39">
        <v>0.5</v>
      </c>
      <c r="AB66" s="40">
        <f t="shared" si="3"/>
        <v>3750000</v>
      </c>
      <c r="AC66" s="235"/>
      <c r="AD66" s="235"/>
    </row>
    <row r="67" spans="1:255" s="42" customFormat="1" ht="27" customHeight="1">
      <c r="A67" s="229"/>
      <c r="B67" s="278"/>
      <c r="C67" s="267"/>
      <c r="D67" s="267"/>
      <c r="E67" s="268"/>
      <c r="F67" s="268"/>
      <c r="G67" s="232"/>
      <c r="H67" s="232"/>
      <c r="I67" s="307"/>
      <c r="J67" s="232"/>
      <c r="K67" s="33"/>
      <c r="L67" s="233"/>
      <c r="M67" s="234"/>
      <c r="N67" s="234"/>
      <c r="O67" s="234"/>
      <c r="P67" s="234"/>
      <c r="Q67" s="234"/>
      <c r="R67" s="234"/>
      <c r="S67" s="234"/>
      <c r="T67" s="46" t="s">
        <v>402</v>
      </c>
      <c r="U67" s="44"/>
      <c r="V67" s="171"/>
      <c r="W67" s="171" t="str">
        <f>'[1]bang gia'!$C$46</f>
        <v>đồng/cây</v>
      </c>
      <c r="X67" s="175">
        <f>X64-X65-X66</f>
        <v>3</v>
      </c>
      <c r="Y67" s="45">
        <v>2500000</v>
      </c>
      <c r="Z67" s="33"/>
      <c r="AA67" s="39">
        <v>0</v>
      </c>
      <c r="AB67" s="40">
        <f t="shared" si="3"/>
        <v>0</v>
      </c>
      <c r="AC67" s="235"/>
      <c r="AD67" s="235"/>
    </row>
    <row r="68" spans="1:255" s="42" customFormat="1" ht="39.75" customHeight="1">
      <c r="A68" s="229"/>
      <c r="B68" s="278"/>
      <c r="C68" s="267"/>
      <c r="D68" s="267"/>
      <c r="E68" s="268"/>
      <c r="F68" s="268"/>
      <c r="G68" s="232"/>
      <c r="H68" s="232"/>
      <c r="I68" s="307"/>
      <c r="J68" s="232"/>
      <c r="K68" s="33"/>
      <c r="L68" s="233"/>
      <c r="M68" s="234"/>
      <c r="N68" s="234"/>
      <c r="O68" s="234"/>
      <c r="P68" s="234"/>
      <c r="Q68" s="234"/>
      <c r="R68" s="234"/>
      <c r="S68" s="234"/>
      <c r="T68" s="43" t="s">
        <v>652</v>
      </c>
      <c r="U68" s="44"/>
      <c r="V68" s="171"/>
      <c r="W68" s="171" t="s">
        <v>6</v>
      </c>
      <c r="X68" s="40">
        <v>100</v>
      </c>
      <c r="Y68" s="45">
        <v>30000</v>
      </c>
      <c r="Z68" s="33"/>
      <c r="AA68" s="39">
        <v>1</v>
      </c>
      <c r="AB68" s="40">
        <f t="shared" si="3"/>
        <v>3000000</v>
      </c>
      <c r="AC68" s="235"/>
      <c r="AD68" s="235"/>
    </row>
    <row r="69" spans="1:255" s="42" customFormat="1" ht="27" customHeight="1">
      <c r="A69" s="229"/>
      <c r="B69" s="278"/>
      <c r="C69" s="267"/>
      <c r="D69" s="267"/>
      <c r="E69" s="268"/>
      <c r="F69" s="268"/>
      <c r="G69" s="232"/>
      <c r="H69" s="232"/>
      <c r="I69" s="307"/>
      <c r="J69" s="232"/>
      <c r="K69" s="33"/>
      <c r="L69" s="233"/>
      <c r="M69" s="234"/>
      <c r="N69" s="234"/>
      <c r="O69" s="234"/>
      <c r="P69" s="234"/>
      <c r="Q69" s="234"/>
      <c r="R69" s="234"/>
      <c r="S69" s="234"/>
      <c r="T69" s="47" t="s">
        <v>528</v>
      </c>
      <c r="U69" s="163"/>
      <c r="V69" s="35"/>
      <c r="W69" s="163" t="s">
        <v>7</v>
      </c>
      <c r="X69" s="40"/>
      <c r="Y69" s="161"/>
      <c r="Z69" s="33"/>
      <c r="AA69" s="39">
        <v>0</v>
      </c>
      <c r="AB69" s="175">
        <v>0</v>
      </c>
      <c r="AC69" s="235"/>
      <c r="AD69" s="235"/>
    </row>
    <row r="70" spans="1:255" s="42" customFormat="1" ht="37.5" customHeight="1">
      <c r="A70" s="229">
        <v>5</v>
      </c>
      <c r="B70" s="278" t="s">
        <v>529</v>
      </c>
      <c r="C70" s="267">
        <v>64</v>
      </c>
      <c r="D70" s="267">
        <v>512</v>
      </c>
      <c r="E70" s="268">
        <v>395.4</v>
      </c>
      <c r="F70" s="268" t="s">
        <v>26</v>
      </c>
      <c r="G70" s="232">
        <v>378</v>
      </c>
      <c r="H70" s="232">
        <f>E70-G70</f>
        <v>17.399999999999977</v>
      </c>
      <c r="I70" s="307">
        <v>378</v>
      </c>
      <c r="J70" s="232">
        <v>378</v>
      </c>
      <c r="K70" s="33"/>
      <c r="L70" s="233">
        <f>I70/J70*100</f>
        <v>100</v>
      </c>
      <c r="M70" s="234">
        <f>IF(L70&lt;10,2,IF(L70&lt;20,3,IF(L70&lt;30,5,IF(L70&gt;=70,12,IF(L70&gt;=30,6)))))</f>
        <v>12</v>
      </c>
      <c r="N70" s="234">
        <v>5</v>
      </c>
      <c r="O70" s="234">
        <f>$O$7</f>
        <v>80000</v>
      </c>
      <c r="P70" s="234">
        <f>I70*O70</f>
        <v>30240000</v>
      </c>
      <c r="Q70" s="234">
        <f>$Q$7*I70</f>
        <v>90720000</v>
      </c>
      <c r="R70" s="234">
        <f>M70*N70*$R$7</f>
        <v>30600000</v>
      </c>
      <c r="S70" s="234">
        <f>R70+Q70+P70</f>
        <v>151560000</v>
      </c>
      <c r="T70" s="43" t="s">
        <v>708</v>
      </c>
      <c r="U70" s="44">
        <v>20</v>
      </c>
      <c r="V70" s="170">
        <f>(I70-6)/20</f>
        <v>18.600000000000001</v>
      </c>
      <c r="W70" s="171" t="str">
        <f>'[1]bang gia'!$C$46</f>
        <v>đồng/cây</v>
      </c>
      <c r="X70" s="175">
        <v>12</v>
      </c>
      <c r="Y70" s="45"/>
      <c r="Z70" s="33"/>
      <c r="AA70" s="39"/>
      <c r="AB70" s="40"/>
      <c r="AC70" s="235">
        <f>SUM(AB70:AB84)</f>
        <v>68500000</v>
      </c>
      <c r="AD70" s="235">
        <f>AC70+S70</f>
        <v>220060000</v>
      </c>
      <c r="AE70" s="275" t="s">
        <v>497</v>
      </c>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row>
    <row r="71" spans="1:255" s="42" customFormat="1" ht="24.75" customHeight="1">
      <c r="A71" s="229"/>
      <c r="B71" s="267"/>
      <c r="C71" s="267"/>
      <c r="D71" s="267"/>
      <c r="E71" s="268"/>
      <c r="F71" s="268"/>
      <c r="G71" s="232"/>
      <c r="H71" s="232"/>
      <c r="I71" s="307"/>
      <c r="J71" s="232"/>
      <c r="K71" s="33"/>
      <c r="L71" s="233"/>
      <c r="M71" s="234"/>
      <c r="N71" s="234"/>
      <c r="O71" s="234"/>
      <c r="P71" s="234"/>
      <c r="Q71" s="234"/>
      <c r="R71" s="234"/>
      <c r="S71" s="234"/>
      <c r="T71" s="46" t="s">
        <v>399</v>
      </c>
      <c r="U71" s="44"/>
      <c r="V71" s="170"/>
      <c r="W71" s="171" t="str">
        <f>'[1]bang gia'!$C$46</f>
        <v>đồng/cây</v>
      </c>
      <c r="X71" s="175">
        <v>12</v>
      </c>
      <c r="Y71" s="45">
        <v>3000000</v>
      </c>
      <c r="Z71" s="33"/>
      <c r="AA71" s="39">
        <v>1</v>
      </c>
      <c r="AB71" s="40">
        <f t="shared" ref="AB71:AB76" si="4">X71*Y71*AA71</f>
        <v>36000000</v>
      </c>
      <c r="AC71" s="235"/>
      <c r="AD71" s="235"/>
      <c r="AE71" s="276"/>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row>
    <row r="72" spans="1:255" s="42" customFormat="1" ht="46.5" customHeight="1">
      <c r="A72" s="229"/>
      <c r="B72" s="267"/>
      <c r="C72" s="267"/>
      <c r="D72" s="267"/>
      <c r="E72" s="268"/>
      <c r="F72" s="268"/>
      <c r="G72" s="232"/>
      <c r="H72" s="232"/>
      <c r="I72" s="307"/>
      <c r="J72" s="232"/>
      <c r="K72" s="33"/>
      <c r="L72" s="233"/>
      <c r="M72" s="234"/>
      <c r="N72" s="234"/>
      <c r="O72" s="234"/>
      <c r="P72" s="234"/>
      <c r="Q72" s="234"/>
      <c r="R72" s="234"/>
      <c r="S72" s="234"/>
      <c r="T72" s="43" t="s">
        <v>696</v>
      </c>
      <c r="U72" s="44"/>
      <c r="V72" s="171"/>
      <c r="W72" s="171" t="str">
        <f>'[1]bang gia'!$C$46</f>
        <v>đồng/cây</v>
      </c>
      <c r="X72" s="175">
        <v>16</v>
      </c>
      <c r="Y72" s="45"/>
      <c r="Z72" s="33"/>
      <c r="AA72" s="39"/>
      <c r="AB72" s="40"/>
      <c r="AC72" s="235"/>
      <c r="AD72" s="235"/>
      <c r="AE72" s="276"/>
    </row>
    <row r="73" spans="1:255" s="42" customFormat="1" ht="21.75" customHeight="1">
      <c r="A73" s="229"/>
      <c r="B73" s="267"/>
      <c r="C73" s="267"/>
      <c r="D73" s="267"/>
      <c r="E73" s="268"/>
      <c r="F73" s="268"/>
      <c r="G73" s="232"/>
      <c r="H73" s="232"/>
      <c r="I73" s="307"/>
      <c r="J73" s="232"/>
      <c r="K73" s="33"/>
      <c r="L73" s="233"/>
      <c r="M73" s="234"/>
      <c r="N73" s="234"/>
      <c r="O73" s="234"/>
      <c r="P73" s="234"/>
      <c r="Q73" s="234"/>
      <c r="R73" s="234"/>
      <c r="S73" s="234"/>
      <c r="T73" s="46" t="s">
        <v>399</v>
      </c>
      <c r="U73" s="44"/>
      <c r="V73" s="171"/>
      <c r="W73" s="171" t="str">
        <f>'[1]bang gia'!$C$46</f>
        <v>đồng/cây</v>
      </c>
      <c r="X73" s="175">
        <v>7</v>
      </c>
      <c r="Y73" s="45">
        <v>2500000</v>
      </c>
      <c r="Z73" s="33"/>
      <c r="AA73" s="39">
        <v>1</v>
      </c>
      <c r="AB73" s="40">
        <f t="shared" si="4"/>
        <v>17500000</v>
      </c>
      <c r="AC73" s="235"/>
      <c r="AD73" s="235"/>
    </row>
    <row r="74" spans="1:255" s="42" customFormat="1" ht="21.75" customHeight="1">
      <c r="A74" s="229"/>
      <c r="B74" s="267"/>
      <c r="C74" s="267"/>
      <c r="D74" s="267"/>
      <c r="E74" s="268"/>
      <c r="F74" s="268"/>
      <c r="G74" s="232"/>
      <c r="H74" s="232"/>
      <c r="I74" s="307"/>
      <c r="J74" s="232"/>
      <c r="K74" s="33"/>
      <c r="L74" s="233"/>
      <c r="M74" s="234"/>
      <c r="N74" s="234"/>
      <c r="O74" s="234"/>
      <c r="P74" s="234"/>
      <c r="Q74" s="234"/>
      <c r="R74" s="234"/>
      <c r="S74" s="234"/>
      <c r="T74" s="46" t="s">
        <v>401</v>
      </c>
      <c r="U74" s="44"/>
      <c r="V74" s="175">
        <f>19*0.3</f>
        <v>5.7</v>
      </c>
      <c r="W74" s="171" t="str">
        <f>'[1]bang gia'!$C$46</f>
        <v>đồng/cây</v>
      </c>
      <c r="X74" s="175">
        <v>6</v>
      </c>
      <c r="Y74" s="45">
        <v>2500000</v>
      </c>
      <c r="Z74" s="33"/>
      <c r="AA74" s="39">
        <v>0.5</v>
      </c>
      <c r="AB74" s="40">
        <f t="shared" si="4"/>
        <v>7500000</v>
      </c>
      <c r="AC74" s="235"/>
      <c r="AD74" s="235"/>
    </row>
    <row r="75" spans="1:255" s="42" customFormat="1" ht="21.75" customHeight="1">
      <c r="A75" s="229"/>
      <c r="B75" s="267"/>
      <c r="C75" s="267"/>
      <c r="D75" s="267"/>
      <c r="E75" s="268"/>
      <c r="F75" s="268"/>
      <c r="G75" s="232"/>
      <c r="H75" s="232"/>
      <c r="I75" s="307"/>
      <c r="J75" s="232"/>
      <c r="K75" s="33"/>
      <c r="L75" s="233"/>
      <c r="M75" s="234"/>
      <c r="N75" s="234"/>
      <c r="O75" s="234"/>
      <c r="P75" s="234"/>
      <c r="Q75" s="234"/>
      <c r="R75" s="234"/>
      <c r="S75" s="234"/>
      <c r="T75" s="46" t="s">
        <v>402</v>
      </c>
      <c r="U75" s="44"/>
      <c r="V75" s="171"/>
      <c r="W75" s="171" t="str">
        <f>'[1]bang gia'!$C$46</f>
        <v>đồng/cây</v>
      </c>
      <c r="X75" s="175">
        <f>X72-X73-X74</f>
        <v>3</v>
      </c>
      <c r="Y75" s="45">
        <v>2500000</v>
      </c>
      <c r="Z75" s="33"/>
      <c r="AA75" s="39">
        <v>0</v>
      </c>
      <c r="AB75" s="40">
        <f t="shared" si="4"/>
        <v>0</v>
      </c>
      <c r="AC75" s="235"/>
      <c r="AD75" s="235"/>
    </row>
    <row r="76" spans="1:255" s="42" customFormat="1" ht="21.75" customHeight="1">
      <c r="A76" s="229"/>
      <c r="B76" s="267"/>
      <c r="C76" s="267"/>
      <c r="D76" s="267"/>
      <c r="E76" s="268"/>
      <c r="F76" s="268"/>
      <c r="G76" s="232"/>
      <c r="H76" s="232"/>
      <c r="I76" s="307"/>
      <c r="J76" s="232"/>
      <c r="K76" s="33"/>
      <c r="L76" s="233"/>
      <c r="M76" s="234"/>
      <c r="N76" s="234"/>
      <c r="O76" s="234"/>
      <c r="P76" s="234"/>
      <c r="Q76" s="234"/>
      <c r="R76" s="234"/>
      <c r="S76" s="234"/>
      <c r="T76" s="43" t="s">
        <v>531</v>
      </c>
      <c r="U76" s="44"/>
      <c r="V76" s="171"/>
      <c r="W76" s="37" t="s">
        <v>0</v>
      </c>
      <c r="X76" s="40">
        <v>250</v>
      </c>
      <c r="Y76" s="45">
        <v>30000</v>
      </c>
      <c r="Z76" s="33"/>
      <c r="AA76" s="39">
        <v>1</v>
      </c>
      <c r="AB76" s="40">
        <f t="shared" si="4"/>
        <v>7500000</v>
      </c>
      <c r="AC76" s="235"/>
      <c r="AD76" s="235"/>
    </row>
    <row r="77" spans="1:255" s="42" customFormat="1" ht="42" customHeight="1">
      <c r="A77" s="229"/>
      <c r="B77" s="267"/>
      <c r="C77" s="267"/>
      <c r="D77" s="267"/>
      <c r="E77" s="268"/>
      <c r="F77" s="268"/>
      <c r="G77" s="232"/>
      <c r="H77" s="232"/>
      <c r="I77" s="307"/>
      <c r="J77" s="232"/>
      <c r="K77" s="33"/>
      <c r="L77" s="233"/>
      <c r="M77" s="234"/>
      <c r="N77" s="234"/>
      <c r="O77" s="234"/>
      <c r="P77" s="234"/>
      <c r="Q77" s="234"/>
      <c r="R77" s="234"/>
      <c r="S77" s="234"/>
      <c r="T77" s="47" t="s">
        <v>710</v>
      </c>
      <c r="U77" s="163"/>
      <c r="V77" s="171"/>
      <c r="W77" s="163" t="s">
        <v>522</v>
      </c>
      <c r="X77" s="175">
        <v>24</v>
      </c>
      <c r="Y77" s="175"/>
      <c r="Z77" s="33"/>
      <c r="AA77" s="39">
        <v>0</v>
      </c>
      <c r="AB77" s="175">
        <v>0</v>
      </c>
      <c r="AC77" s="235"/>
      <c r="AD77" s="235"/>
    </row>
    <row r="78" spans="1:255" s="42" customFormat="1" ht="21.75" customHeight="1">
      <c r="A78" s="229"/>
      <c r="B78" s="267"/>
      <c r="C78" s="267"/>
      <c r="D78" s="267"/>
      <c r="E78" s="268"/>
      <c r="F78" s="268"/>
      <c r="G78" s="232"/>
      <c r="H78" s="232"/>
      <c r="I78" s="307"/>
      <c r="J78" s="232"/>
      <c r="K78" s="33"/>
      <c r="L78" s="233"/>
      <c r="M78" s="234"/>
      <c r="N78" s="234"/>
      <c r="O78" s="234"/>
      <c r="P78" s="234"/>
      <c r="Q78" s="234"/>
      <c r="R78" s="234"/>
      <c r="S78" s="234"/>
      <c r="T78" s="43" t="s">
        <v>533</v>
      </c>
      <c r="U78" s="44"/>
      <c r="V78" s="171"/>
      <c r="W78" s="171" t="s">
        <v>6</v>
      </c>
      <c r="X78" s="40" t="s">
        <v>534</v>
      </c>
      <c r="Y78" s="175"/>
      <c r="Z78" s="33"/>
      <c r="AA78" s="39">
        <v>0</v>
      </c>
      <c r="AB78" s="175">
        <v>0</v>
      </c>
      <c r="AC78" s="235"/>
      <c r="AD78" s="235"/>
    </row>
    <row r="79" spans="1:255" s="42" customFormat="1" ht="37.5" customHeight="1">
      <c r="A79" s="229"/>
      <c r="B79" s="267"/>
      <c r="C79" s="267"/>
      <c r="D79" s="267"/>
      <c r="E79" s="268"/>
      <c r="F79" s="268"/>
      <c r="G79" s="232"/>
      <c r="H79" s="232"/>
      <c r="I79" s="307"/>
      <c r="J79" s="232"/>
      <c r="K79" s="33"/>
      <c r="L79" s="233"/>
      <c r="M79" s="234"/>
      <c r="N79" s="234"/>
      <c r="O79" s="234"/>
      <c r="P79" s="234"/>
      <c r="Q79" s="234"/>
      <c r="R79" s="234"/>
      <c r="S79" s="234"/>
      <c r="T79" s="43" t="s">
        <v>709</v>
      </c>
      <c r="U79" s="44"/>
      <c r="V79" s="171">
        <v>6</v>
      </c>
      <c r="W79" s="171" t="s">
        <v>6</v>
      </c>
      <c r="X79" s="175">
        <v>6</v>
      </c>
      <c r="Y79" s="175"/>
      <c r="Z79" s="33"/>
      <c r="AA79" s="39">
        <v>0</v>
      </c>
      <c r="AB79" s="175">
        <v>0</v>
      </c>
      <c r="AC79" s="235"/>
      <c r="AD79" s="235"/>
    </row>
    <row r="80" spans="1:255" s="42" customFormat="1" ht="26.25" customHeight="1">
      <c r="A80" s="229"/>
      <c r="B80" s="267"/>
      <c r="C80" s="267"/>
      <c r="D80" s="267"/>
      <c r="E80" s="268"/>
      <c r="F80" s="268"/>
      <c r="G80" s="232"/>
      <c r="H80" s="232"/>
      <c r="I80" s="307"/>
      <c r="J80" s="232"/>
      <c r="K80" s="33"/>
      <c r="L80" s="233"/>
      <c r="M80" s="234"/>
      <c r="N80" s="234"/>
      <c r="O80" s="234"/>
      <c r="P80" s="234"/>
      <c r="Q80" s="234"/>
      <c r="R80" s="234"/>
      <c r="S80" s="234"/>
      <c r="T80" s="49" t="s">
        <v>536</v>
      </c>
      <c r="U80" s="35"/>
      <c r="V80" s="171"/>
      <c r="W80" s="171" t="s">
        <v>501</v>
      </c>
      <c r="X80" s="50">
        <v>2.2400000000000002</v>
      </c>
      <c r="Y80" s="175"/>
      <c r="Z80" s="33"/>
      <c r="AA80" s="39">
        <v>0</v>
      </c>
      <c r="AB80" s="175">
        <v>0</v>
      </c>
      <c r="AC80" s="235"/>
      <c r="AD80" s="235"/>
    </row>
    <row r="81" spans="1:255" s="42" customFormat="1" ht="21.75" customHeight="1">
      <c r="A81" s="229"/>
      <c r="B81" s="267"/>
      <c r="C81" s="267"/>
      <c r="D81" s="267"/>
      <c r="E81" s="268"/>
      <c r="F81" s="268"/>
      <c r="G81" s="232"/>
      <c r="H81" s="232"/>
      <c r="I81" s="307"/>
      <c r="J81" s="232"/>
      <c r="K81" s="33"/>
      <c r="L81" s="233"/>
      <c r="M81" s="234"/>
      <c r="N81" s="234"/>
      <c r="O81" s="234"/>
      <c r="P81" s="234"/>
      <c r="Q81" s="234"/>
      <c r="R81" s="234"/>
      <c r="S81" s="234"/>
      <c r="T81" s="43" t="s">
        <v>537</v>
      </c>
      <c r="U81" s="44"/>
      <c r="V81" s="171"/>
      <c r="W81" s="171" t="s">
        <v>501</v>
      </c>
      <c r="X81" s="175"/>
      <c r="Y81" s="175"/>
      <c r="Z81" s="33"/>
      <c r="AA81" s="39">
        <v>0</v>
      </c>
      <c r="AB81" s="175">
        <v>0</v>
      </c>
      <c r="AC81" s="235"/>
      <c r="AD81" s="235"/>
    </row>
    <row r="82" spans="1:255" s="42" customFormat="1" ht="21.75" customHeight="1">
      <c r="A82" s="229"/>
      <c r="B82" s="267"/>
      <c r="C82" s="267"/>
      <c r="D82" s="267"/>
      <c r="E82" s="268"/>
      <c r="F82" s="268"/>
      <c r="G82" s="232"/>
      <c r="H82" s="232"/>
      <c r="I82" s="307"/>
      <c r="J82" s="232"/>
      <c r="K82" s="33"/>
      <c r="L82" s="233"/>
      <c r="M82" s="234"/>
      <c r="N82" s="234"/>
      <c r="O82" s="234"/>
      <c r="P82" s="234"/>
      <c r="Q82" s="234"/>
      <c r="R82" s="234"/>
      <c r="S82" s="234"/>
      <c r="T82" s="43" t="s">
        <v>538</v>
      </c>
      <c r="U82" s="44"/>
      <c r="V82" s="171"/>
      <c r="W82" s="163" t="s">
        <v>6</v>
      </c>
      <c r="X82" s="40" t="s">
        <v>539</v>
      </c>
      <c r="Y82" s="161"/>
      <c r="Z82" s="33"/>
      <c r="AA82" s="39">
        <v>0</v>
      </c>
      <c r="AB82" s="175">
        <v>0</v>
      </c>
      <c r="AC82" s="235"/>
      <c r="AD82" s="235"/>
    </row>
    <row r="83" spans="1:255" s="42" customFormat="1" ht="21.75" customHeight="1">
      <c r="A83" s="229"/>
      <c r="B83" s="267"/>
      <c r="C83" s="267"/>
      <c r="D83" s="267"/>
      <c r="E83" s="268"/>
      <c r="F83" s="268"/>
      <c r="G83" s="232"/>
      <c r="H83" s="232"/>
      <c r="I83" s="307"/>
      <c r="J83" s="232"/>
      <c r="K83" s="33"/>
      <c r="L83" s="233"/>
      <c r="M83" s="234"/>
      <c r="N83" s="234"/>
      <c r="O83" s="234"/>
      <c r="P83" s="234"/>
      <c r="Q83" s="234"/>
      <c r="R83" s="234"/>
      <c r="S83" s="234"/>
      <c r="T83" s="47" t="s">
        <v>540</v>
      </c>
      <c r="U83" s="163"/>
      <c r="V83" s="171"/>
      <c r="W83" s="163" t="s">
        <v>6</v>
      </c>
      <c r="X83" s="40" t="s">
        <v>541</v>
      </c>
      <c r="Y83" s="161"/>
      <c r="Z83" s="33"/>
      <c r="AA83" s="39">
        <v>0</v>
      </c>
      <c r="AB83" s="175">
        <v>0</v>
      </c>
      <c r="AC83" s="235"/>
      <c r="AD83" s="235"/>
    </row>
    <row r="84" spans="1:255" s="42" customFormat="1" ht="21.75" customHeight="1">
      <c r="A84" s="229"/>
      <c r="B84" s="267"/>
      <c r="C84" s="267"/>
      <c r="D84" s="267"/>
      <c r="E84" s="268"/>
      <c r="F84" s="268"/>
      <c r="G84" s="232"/>
      <c r="H84" s="232"/>
      <c r="I84" s="307"/>
      <c r="J84" s="232"/>
      <c r="K84" s="33"/>
      <c r="L84" s="233"/>
      <c r="M84" s="234"/>
      <c r="N84" s="234"/>
      <c r="O84" s="234"/>
      <c r="P84" s="234"/>
      <c r="Q84" s="234"/>
      <c r="R84" s="234"/>
      <c r="S84" s="234"/>
      <c r="T84" s="49" t="s">
        <v>542</v>
      </c>
      <c r="U84" s="35"/>
      <c r="V84" s="35"/>
      <c r="W84" s="35" t="s">
        <v>395</v>
      </c>
      <c r="X84" s="40">
        <v>1</v>
      </c>
      <c r="Y84" s="175"/>
      <c r="Z84" s="33"/>
      <c r="AA84" s="39">
        <v>0</v>
      </c>
      <c r="AB84" s="40">
        <f t="shared" ref="AB84:AB90" si="5">X84*Y84*AA84</f>
        <v>0</v>
      </c>
      <c r="AC84" s="235"/>
      <c r="AD84" s="235"/>
    </row>
    <row r="85" spans="1:255" s="42" customFormat="1" ht="42.75" customHeight="1">
      <c r="A85" s="229">
        <v>6</v>
      </c>
      <c r="B85" s="230" t="s">
        <v>543</v>
      </c>
      <c r="C85" s="267">
        <v>62</v>
      </c>
      <c r="D85" s="267">
        <v>475</v>
      </c>
      <c r="E85" s="268">
        <v>652.5</v>
      </c>
      <c r="F85" s="268" t="s">
        <v>26</v>
      </c>
      <c r="G85" s="279">
        <v>648</v>
      </c>
      <c r="H85" s="232">
        <f>E85-G85</f>
        <v>4.5</v>
      </c>
      <c r="I85" s="308">
        <v>648</v>
      </c>
      <c r="J85" s="277">
        <v>1296</v>
      </c>
      <c r="K85" s="33"/>
      <c r="L85" s="233">
        <f>(I101+I85)/J85*100</f>
        <v>100</v>
      </c>
      <c r="M85" s="234">
        <f>IF(L85&lt;10,2,IF(L85&lt;20,3,IF(L85&lt;30,5,IF(L85&gt;=70,12,IF(L85&gt;=30,6)))))</f>
        <v>12</v>
      </c>
      <c r="N85" s="234">
        <v>3</v>
      </c>
      <c r="O85" s="234">
        <f>$O$7</f>
        <v>80000</v>
      </c>
      <c r="P85" s="234">
        <f>(I101+I85)*O85</f>
        <v>103680000</v>
      </c>
      <c r="Q85" s="234">
        <f>$Q$7*(I101+I85)</f>
        <v>311040000</v>
      </c>
      <c r="R85" s="234">
        <f>M85*N85*$R$7</f>
        <v>18360000</v>
      </c>
      <c r="S85" s="234">
        <f>R85+Q85+P85</f>
        <v>433080000</v>
      </c>
      <c r="T85" s="43" t="s">
        <v>708</v>
      </c>
      <c r="U85" s="44">
        <v>20</v>
      </c>
      <c r="V85" s="170">
        <f>(I85-2)/U85</f>
        <v>32.299999999999997</v>
      </c>
      <c r="W85" s="171" t="str">
        <f>'[1]bang gia'!$C$46</f>
        <v>đồng/cây</v>
      </c>
      <c r="X85" s="175">
        <v>23</v>
      </c>
      <c r="Y85" s="45"/>
      <c r="Z85" s="33"/>
      <c r="AA85" s="39"/>
      <c r="AB85" s="40"/>
      <c r="AC85" s="176"/>
      <c r="AD85" s="235">
        <f>AC101+AC86+S85</f>
        <v>676680000</v>
      </c>
      <c r="AE85" s="275" t="s">
        <v>492</v>
      </c>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row>
    <row r="86" spans="1:255" s="42" customFormat="1" ht="30" customHeight="1">
      <c r="A86" s="229"/>
      <c r="B86" s="230"/>
      <c r="C86" s="267"/>
      <c r="D86" s="267"/>
      <c r="E86" s="268"/>
      <c r="F86" s="268"/>
      <c r="G86" s="279"/>
      <c r="H86" s="232"/>
      <c r="I86" s="308"/>
      <c r="J86" s="277"/>
      <c r="K86" s="33"/>
      <c r="L86" s="233"/>
      <c r="M86" s="234"/>
      <c r="N86" s="234"/>
      <c r="O86" s="234"/>
      <c r="P86" s="234"/>
      <c r="Q86" s="234"/>
      <c r="R86" s="234"/>
      <c r="S86" s="234"/>
      <c r="T86" s="46" t="s">
        <v>399</v>
      </c>
      <c r="U86" s="44"/>
      <c r="V86" s="170"/>
      <c r="W86" s="171" t="str">
        <f>'[1]bang gia'!$C$46</f>
        <v>đồng/cây</v>
      </c>
      <c r="X86" s="175">
        <v>23</v>
      </c>
      <c r="Y86" s="45">
        <v>3000000</v>
      </c>
      <c r="Z86" s="33"/>
      <c r="AA86" s="39">
        <v>1</v>
      </c>
      <c r="AB86" s="40">
        <f t="shared" si="5"/>
        <v>69000000</v>
      </c>
      <c r="AC86" s="235">
        <f>SUM(AB86:AB100)</f>
        <v>104400000</v>
      </c>
      <c r="AD86" s="235"/>
      <c r="AE86" s="276"/>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row>
    <row r="87" spans="1:255" s="42" customFormat="1" ht="45" customHeight="1">
      <c r="A87" s="229"/>
      <c r="B87" s="230"/>
      <c r="C87" s="267"/>
      <c r="D87" s="267"/>
      <c r="E87" s="268"/>
      <c r="F87" s="268"/>
      <c r="G87" s="279"/>
      <c r="H87" s="232"/>
      <c r="I87" s="308"/>
      <c r="J87" s="277"/>
      <c r="K87" s="33"/>
      <c r="L87" s="233"/>
      <c r="M87" s="234"/>
      <c r="N87" s="234"/>
      <c r="O87" s="234"/>
      <c r="P87" s="234"/>
      <c r="Q87" s="234"/>
      <c r="R87" s="234"/>
      <c r="S87" s="234"/>
      <c r="T87" s="43" t="s">
        <v>697</v>
      </c>
      <c r="U87" s="44"/>
      <c r="V87" s="171"/>
      <c r="W87" s="171" t="str">
        <f>'[1]bang gia'!$C$46</f>
        <v>đồng/cây</v>
      </c>
      <c r="X87" s="175">
        <v>28</v>
      </c>
      <c r="Y87" s="45"/>
      <c r="Z87" s="33"/>
      <c r="AA87" s="39"/>
      <c r="AB87" s="40"/>
      <c r="AC87" s="235"/>
      <c r="AD87" s="235"/>
      <c r="AE87" s="276"/>
    </row>
    <row r="88" spans="1:255" s="42" customFormat="1" ht="26.25" customHeight="1">
      <c r="A88" s="229"/>
      <c r="B88" s="230"/>
      <c r="C88" s="267"/>
      <c r="D88" s="267"/>
      <c r="E88" s="268"/>
      <c r="F88" s="268"/>
      <c r="G88" s="279"/>
      <c r="H88" s="232"/>
      <c r="I88" s="308"/>
      <c r="J88" s="277"/>
      <c r="K88" s="33"/>
      <c r="L88" s="233"/>
      <c r="M88" s="234"/>
      <c r="N88" s="234"/>
      <c r="O88" s="234"/>
      <c r="P88" s="234"/>
      <c r="Q88" s="234"/>
      <c r="R88" s="234"/>
      <c r="S88" s="234"/>
      <c r="T88" s="46" t="s">
        <v>399</v>
      </c>
      <c r="U88" s="44"/>
      <c r="V88" s="171"/>
      <c r="W88" s="171" t="str">
        <f>'[1]bang gia'!$C$46</f>
        <v>đồng/cây</v>
      </c>
      <c r="X88" s="175">
        <v>9</v>
      </c>
      <c r="Y88" s="45">
        <v>2500000</v>
      </c>
      <c r="Z88" s="33"/>
      <c r="AA88" s="39">
        <v>1</v>
      </c>
      <c r="AB88" s="40">
        <f t="shared" si="5"/>
        <v>22500000</v>
      </c>
      <c r="AC88" s="235"/>
      <c r="AD88" s="235"/>
    </row>
    <row r="89" spans="1:255" s="42" customFormat="1" ht="26.25" customHeight="1">
      <c r="A89" s="229"/>
      <c r="B89" s="230"/>
      <c r="C89" s="267"/>
      <c r="D89" s="267"/>
      <c r="E89" s="268"/>
      <c r="F89" s="268"/>
      <c r="G89" s="279"/>
      <c r="H89" s="232"/>
      <c r="I89" s="308"/>
      <c r="J89" s="277"/>
      <c r="K89" s="33"/>
      <c r="L89" s="233"/>
      <c r="M89" s="234"/>
      <c r="N89" s="234"/>
      <c r="O89" s="234"/>
      <c r="P89" s="234"/>
      <c r="Q89" s="234"/>
      <c r="R89" s="234"/>
      <c r="S89" s="234"/>
      <c r="T89" s="46" t="s">
        <v>401</v>
      </c>
      <c r="U89" s="44"/>
      <c r="V89" s="180">
        <f>((X85+X87)-(X86+X88))*0.3</f>
        <v>5.7</v>
      </c>
      <c r="W89" s="171" t="str">
        <f>'[1]bang gia'!$C$46</f>
        <v>đồng/cây</v>
      </c>
      <c r="X89" s="175">
        <v>6</v>
      </c>
      <c r="Y89" s="45">
        <v>2500000</v>
      </c>
      <c r="Z89" s="33"/>
      <c r="AA89" s="39">
        <v>0.3</v>
      </c>
      <c r="AB89" s="40">
        <f t="shared" si="5"/>
        <v>4500000</v>
      </c>
      <c r="AC89" s="235"/>
      <c r="AD89" s="235"/>
    </row>
    <row r="90" spans="1:255" s="42" customFormat="1" ht="26.25" customHeight="1">
      <c r="A90" s="229"/>
      <c r="B90" s="230"/>
      <c r="C90" s="267"/>
      <c r="D90" s="267"/>
      <c r="E90" s="268"/>
      <c r="F90" s="268"/>
      <c r="G90" s="279"/>
      <c r="H90" s="232"/>
      <c r="I90" s="308"/>
      <c r="J90" s="277"/>
      <c r="K90" s="33"/>
      <c r="L90" s="233"/>
      <c r="M90" s="234"/>
      <c r="N90" s="234"/>
      <c r="O90" s="234"/>
      <c r="P90" s="234"/>
      <c r="Q90" s="234"/>
      <c r="R90" s="234"/>
      <c r="S90" s="234"/>
      <c r="T90" s="46" t="s">
        <v>402</v>
      </c>
      <c r="U90" s="44"/>
      <c r="V90" s="171"/>
      <c r="W90" s="171" t="str">
        <f>'[1]bang gia'!$C$46</f>
        <v>đồng/cây</v>
      </c>
      <c r="X90" s="175">
        <f>X87-X88-X89</f>
        <v>13</v>
      </c>
      <c r="Y90" s="45">
        <v>2500000</v>
      </c>
      <c r="Z90" s="33"/>
      <c r="AA90" s="39">
        <v>0</v>
      </c>
      <c r="AB90" s="40">
        <f t="shared" si="5"/>
        <v>0</v>
      </c>
      <c r="AC90" s="235"/>
      <c r="AD90" s="235"/>
    </row>
    <row r="91" spans="1:255" s="42" customFormat="1" ht="42.75" customHeight="1">
      <c r="A91" s="229"/>
      <c r="B91" s="230"/>
      <c r="C91" s="267"/>
      <c r="D91" s="267"/>
      <c r="E91" s="268"/>
      <c r="F91" s="268"/>
      <c r="G91" s="279"/>
      <c r="H91" s="232"/>
      <c r="I91" s="308"/>
      <c r="J91" s="277"/>
      <c r="K91" s="33"/>
      <c r="L91" s="233"/>
      <c r="M91" s="234"/>
      <c r="N91" s="234"/>
      <c r="O91" s="234"/>
      <c r="P91" s="234"/>
      <c r="Q91" s="234"/>
      <c r="R91" s="234"/>
      <c r="S91" s="234"/>
      <c r="T91" s="43" t="s">
        <v>711</v>
      </c>
      <c r="U91" s="44">
        <v>25</v>
      </c>
      <c r="V91" s="170">
        <f>(I85-2)/U91*0.3</f>
        <v>7.7519999999999998</v>
      </c>
      <c r="W91" s="171" t="str">
        <f>'[1]bang gia'!$C$46</f>
        <v>đồng/cây</v>
      </c>
      <c r="X91" s="175">
        <v>32</v>
      </c>
      <c r="Y91" s="45"/>
      <c r="Z91" s="33"/>
      <c r="AA91" s="51"/>
      <c r="AB91" s="40"/>
      <c r="AC91" s="235"/>
      <c r="AD91" s="235"/>
    </row>
    <row r="92" spans="1:255" s="42" customFormat="1" ht="26.25" customHeight="1">
      <c r="A92" s="229"/>
      <c r="B92" s="230"/>
      <c r="C92" s="267"/>
      <c r="D92" s="267"/>
      <c r="E92" s="268"/>
      <c r="F92" s="268"/>
      <c r="G92" s="279"/>
      <c r="H92" s="232"/>
      <c r="I92" s="308"/>
      <c r="J92" s="277"/>
      <c r="K92" s="33"/>
      <c r="L92" s="233"/>
      <c r="M92" s="234"/>
      <c r="N92" s="234"/>
      <c r="O92" s="234"/>
      <c r="P92" s="234"/>
      <c r="Q92" s="234"/>
      <c r="R92" s="234"/>
      <c r="S92" s="234"/>
      <c r="T92" s="46" t="s">
        <v>401</v>
      </c>
      <c r="U92" s="44"/>
      <c r="V92" s="170"/>
      <c r="W92" s="171" t="str">
        <f>'[1]bang gia'!$C$46</f>
        <v>đồng/cây</v>
      </c>
      <c r="X92" s="175">
        <v>8</v>
      </c>
      <c r="Y92" s="45">
        <v>1000000</v>
      </c>
      <c r="Z92" s="33"/>
      <c r="AA92" s="39">
        <v>0.3</v>
      </c>
      <c r="AB92" s="40">
        <f>X92*Y92*AA92</f>
        <v>2400000</v>
      </c>
      <c r="AC92" s="235"/>
      <c r="AD92" s="235"/>
    </row>
    <row r="93" spans="1:255" s="42" customFormat="1" ht="26.25" customHeight="1">
      <c r="A93" s="229"/>
      <c r="B93" s="230"/>
      <c r="C93" s="267"/>
      <c r="D93" s="267"/>
      <c r="E93" s="268"/>
      <c r="F93" s="268"/>
      <c r="G93" s="279"/>
      <c r="H93" s="232"/>
      <c r="I93" s="308"/>
      <c r="J93" s="277"/>
      <c r="K93" s="33"/>
      <c r="L93" s="233"/>
      <c r="M93" s="234"/>
      <c r="N93" s="234"/>
      <c r="O93" s="234"/>
      <c r="P93" s="234"/>
      <c r="Q93" s="234"/>
      <c r="R93" s="234"/>
      <c r="S93" s="234"/>
      <c r="T93" s="46" t="s">
        <v>402</v>
      </c>
      <c r="U93" s="44"/>
      <c r="V93" s="170"/>
      <c r="W93" s="171" t="str">
        <f>'[1]bang gia'!$C$46</f>
        <v>đồng/cây</v>
      </c>
      <c r="X93" s="175">
        <f>X91-X92</f>
        <v>24</v>
      </c>
      <c r="Y93" s="45">
        <v>1000000</v>
      </c>
      <c r="Z93" s="33"/>
      <c r="AA93" s="51">
        <v>0</v>
      </c>
      <c r="AB93" s="40">
        <f>X93*Y93*AA93</f>
        <v>0</v>
      </c>
      <c r="AC93" s="235"/>
      <c r="AD93" s="235"/>
    </row>
    <row r="94" spans="1:255" s="42" customFormat="1" ht="26.25" customHeight="1">
      <c r="A94" s="229"/>
      <c r="B94" s="230"/>
      <c r="C94" s="267"/>
      <c r="D94" s="267"/>
      <c r="E94" s="268"/>
      <c r="F94" s="268"/>
      <c r="G94" s="279"/>
      <c r="H94" s="232"/>
      <c r="I94" s="308"/>
      <c r="J94" s="277"/>
      <c r="K94" s="33"/>
      <c r="L94" s="233"/>
      <c r="M94" s="234"/>
      <c r="N94" s="234"/>
      <c r="O94" s="234"/>
      <c r="P94" s="234"/>
      <c r="Q94" s="234"/>
      <c r="R94" s="234"/>
      <c r="S94" s="234"/>
      <c r="T94" s="43" t="s">
        <v>546</v>
      </c>
      <c r="U94" s="44"/>
      <c r="V94" s="171"/>
      <c r="W94" s="37" t="s">
        <v>0</v>
      </c>
      <c r="X94" s="40">
        <v>200</v>
      </c>
      <c r="Y94" s="45">
        <v>30000</v>
      </c>
      <c r="Z94" s="33"/>
      <c r="AA94" s="39">
        <v>1</v>
      </c>
      <c r="AB94" s="40">
        <f>X94*Y94*AA94</f>
        <v>6000000</v>
      </c>
      <c r="AC94" s="235"/>
      <c r="AD94" s="235"/>
    </row>
    <row r="95" spans="1:255" s="42" customFormat="1" ht="45" customHeight="1">
      <c r="A95" s="229"/>
      <c r="B95" s="230"/>
      <c r="C95" s="267"/>
      <c r="D95" s="267"/>
      <c r="E95" s="268"/>
      <c r="F95" s="268"/>
      <c r="G95" s="279"/>
      <c r="H95" s="232"/>
      <c r="I95" s="308"/>
      <c r="J95" s="277"/>
      <c r="K95" s="33"/>
      <c r="L95" s="233"/>
      <c r="M95" s="234"/>
      <c r="N95" s="234"/>
      <c r="O95" s="234"/>
      <c r="P95" s="234"/>
      <c r="Q95" s="234"/>
      <c r="R95" s="234"/>
      <c r="S95" s="234"/>
      <c r="T95" s="47" t="s">
        <v>547</v>
      </c>
      <c r="U95" s="163"/>
      <c r="V95" s="171">
        <v>2</v>
      </c>
      <c r="W95" s="163" t="s">
        <v>7</v>
      </c>
      <c r="X95" s="175">
        <v>2</v>
      </c>
      <c r="Y95" s="161"/>
      <c r="Z95" s="33"/>
      <c r="AA95" s="39">
        <v>0</v>
      </c>
      <c r="AB95" s="175">
        <v>0</v>
      </c>
      <c r="AC95" s="235"/>
      <c r="AD95" s="235"/>
    </row>
    <row r="96" spans="1:255" s="42" customFormat="1" ht="30" customHeight="1">
      <c r="A96" s="229"/>
      <c r="B96" s="230"/>
      <c r="C96" s="267"/>
      <c r="D96" s="267"/>
      <c r="E96" s="268"/>
      <c r="F96" s="268"/>
      <c r="G96" s="279"/>
      <c r="H96" s="232"/>
      <c r="I96" s="308"/>
      <c r="J96" s="277"/>
      <c r="K96" s="33"/>
      <c r="L96" s="233"/>
      <c r="M96" s="234"/>
      <c r="N96" s="234"/>
      <c r="O96" s="234"/>
      <c r="P96" s="234"/>
      <c r="Q96" s="234"/>
      <c r="R96" s="234"/>
      <c r="S96" s="234"/>
      <c r="T96" s="43" t="s">
        <v>548</v>
      </c>
      <c r="U96" s="44"/>
      <c r="V96" s="171"/>
      <c r="W96" s="163" t="s">
        <v>6</v>
      </c>
      <c r="X96" s="175"/>
      <c r="Y96" s="161"/>
      <c r="Z96" s="33"/>
      <c r="AA96" s="39">
        <v>0</v>
      </c>
      <c r="AB96" s="40">
        <f>X96*Y96*AA96</f>
        <v>0</v>
      </c>
      <c r="AC96" s="235"/>
      <c r="AD96" s="235"/>
    </row>
    <row r="97" spans="1:255" s="42" customFormat="1" ht="43.5" customHeight="1">
      <c r="A97" s="229"/>
      <c r="B97" s="230"/>
      <c r="C97" s="267"/>
      <c r="D97" s="267"/>
      <c r="E97" s="268"/>
      <c r="F97" s="268"/>
      <c r="G97" s="279"/>
      <c r="H97" s="232"/>
      <c r="I97" s="308"/>
      <c r="J97" s="277"/>
      <c r="K97" s="33"/>
      <c r="L97" s="233"/>
      <c r="M97" s="234"/>
      <c r="N97" s="234"/>
      <c r="O97" s="234"/>
      <c r="P97" s="234"/>
      <c r="Q97" s="234"/>
      <c r="R97" s="234"/>
      <c r="S97" s="234"/>
      <c r="T97" s="47" t="s">
        <v>549</v>
      </c>
      <c r="U97" s="163"/>
      <c r="V97" s="171"/>
      <c r="W97" s="163" t="s">
        <v>6</v>
      </c>
      <c r="X97" s="175"/>
      <c r="Y97" s="161"/>
      <c r="Z97" s="33"/>
      <c r="AA97" s="39">
        <v>0</v>
      </c>
      <c r="AB97" s="40">
        <f>X97*Y97*AA97</f>
        <v>0</v>
      </c>
      <c r="AC97" s="235"/>
      <c r="AD97" s="235"/>
    </row>
    <row r="98" spans="1:255" s="42" customFormat="1" ht="27" customHeight="1">
      <c r="A98" s="229"/>
      <c r="B98" s="230"/>
      <c r="C98" s="267"/>
      <c r="D98" s="267"/>
      <c r="E98" s="268"/>
      <c r="F98" s="268"/>
      <c r="G98" s="279"/>
      <c r="H98" s="232"/>
      <c r="I98" s="308"/>
      <c r="J98" s="277"/>
      <c r="K98" s="33"/>
      <c r="L98" s="233"/>
      <c r="M98" s="234"/>
      <c r="N98" s="234"/>
      <c r="O98" s="234"/>
      <c r="P98" s="234"/>
      <c r="Q98" s="234"/>
      <c r="R98" s="234"/>
      <c r="S98" s="234"/>
      <c r="T98" s="49" t="s">
        <v>550</v>
      </c>
      <c r="U98" s="35"/>
      <c r="V98" s="171"/>
      <c r="W98" s="171" t="s">
        <v>501</v>
      </c>
      <c r="X98" s="50">
        <v>0.8</v>
      </c>
      <c r="Y98" s="175"/>
      <c r="Z98" s="33"/>
      <c r="AA98" s="39">
        <v>0</v>
      </c>
      <c r="AB98" s="40">
        <f>X98*Y98*AA98</f>
        <v>0</v>
      </c>
      <c r="AC98" s="235"/>
      <c r="AD98" s="235"/>
    </row>
    <row r="99" spans="1:255" s="42" customFormat="1" ht="27" customHeight="1">
      <c r="A99" s="229"/>
      <c r="B99" s="230"/>
      <c r="C99" s="267"/>
      <c r="D99" s="267"/>
      <c r="E99" s="268"/>
      <c r="F99" s="268"/>
      <c r="G99" s="279"/>
      <c r="H99" s="232"/>
      <c r="I99" s="308"/>
      <c r="J99" s="277"/>
      <c r="K99" s="33"/>
      <c r="L99" s="233"/>
      <c r="M99" s="234"/>
      <c r="N99" s="234"/>
      <c r="O99" s="234"/>
      <c r="P99" s="234"/>
      <c r="Q99" s="234"/>
      <c r="R99" s="234"/>
      <c r="S99" s="234"/>
      <c r="T99" s="49" t="s">
        <v>525</v>
      </c>
      <c r="U99" s="35"/>
      <c r="V99" s="35"/>
      <c r="W99" s="35" t="s">
        <v>395</v>
      </c>
      <c r="X99" s="40">
        <v>1</v>
      </c>
      <c r="Y99" s="175"/>
      <c r="Z99" s="33"/>
      <c r="AA99" s="39">
        <v>0</v>
      </c>
      <c r="AB99" s="40">
        <f>X99*Y99*AA99</f>
        <v>0</v>
      </c>
      <c r="AC99" s="235"/>
      <c r="AD99" s="235"/>
    </row>
    <row r="100" spans="1:255" s="42" customFormat="1" ht="27" customHeight="1">
      <c r="A100" s="229"/>
      <c r="B100" s="230"/>
      <c r="C100" s="267"/>
      <c r="D100" s="267"/>
      <c r="E100" s="268"/>
      <c r="F100" s="268"/>
      <c r="G100" s="279"/>
      <c r="H100" s="232"/>
      <c r="I100" s="308"/>
      <c r="J100" s="277"/>
      <c r="K100" s="33"/>
      <c r="L100" s="233"/>
      <c r="M100" s="234"/>
      <c r="N100" s="234"/>
      <c r="O100" s="234"/>
      <c r="P100" s="234"/>
      <c r="Q100" s="234"/>
      <c r="R100" s="234"/>
      <c r="S100" s="234"/>
      <c r="T100" s="47" t="s">
        <v>551</v>
      </c>
      <c r="U100" s="163"/>
      <c r="V100" s="171"/>
      <c r="W100" s="163" t="s">
        <v>6</v>
      </c>
      <c r="X100" s="40" t="s">
        <v>552</v>
      </c>
      <c r="Y100" s="175"/>
      <c r="Z100" s="33"/>
      <c r="AA100" s="39">
        <v>0</v>
      </c>
      <c r="AB100" s="175">
        <v>0</v>
      </c>
      <c r="AC100" s="235"/>
      <c r="AD100" s="235"/>
    </row>
    <row r="101" spans="1:255" s="42" customFormat="1" ht="40.5" customHeight="1">
      <c r="A101" s="229"/>
      <c r="B101" s="230"/>
      <c r="C101" s="267">
        <v>64</v>
      </c>
      <c r="D101" s="267">
        <v>498</v>
      </c>
      <c r="E101" s="268">
        <v>655.20000000000005</v>
      </c>
      <c r="F101" s="268" t="s">
        <v>26</v>
      </c>
      <c r="G101" s="279">
        <v>648</v>
      </c>
      <c r="H101" s="232">
        <f>E101-G101</f>
        <v>7.2000000000000455</v>
      </c>
      <c r="I101" s="308">
        <v>648</v>
      </c>
      <c r="J101" s="277"/>
      <c r="K101" s="33"/>
      <c r="L101" s="233"/>
      <c r="M101" s="234"/>
      <c r="N101" s="234"/>
      <c r="O101" s="234"/>
      <c r="P101" s="234"/>
      <c r="Q101" s="234"/>
      <c r="R101" s="234"/>
      <c r="S101" s="234"/>
      <c r="T101" s="49" t="s">
        <v>693</v>
      </c>
      <c r="U101" s="35">
        <v>25</v>
      </c>
      <c r="V101" s="170">
        <f>(I101-3.7)/U101</f>
        <v>25.771999999999998</v>
      </c>
      <c r="W101" s="171" t="str">
        <f>'[1]bang gia'!$C$46</f>
        <v>đồng/cây</v>
      </c>
      <c r="X101" s="175">
        <v>32</v>
      </c>
      <c r="Y101" s="45"/>
      <c r="Z101" s="33"/>
      <c r="AA101" s="39"/>
      <c r="AB101" s="40"/>
      <c r="AC101" s="235">
        <f>SUM(AB101:AB115)</f>
        <v>139200000</v>
      </c>
      <c r="AD101" s="235"/>
      <c r="AE101" s="275" t="s">
        <v>492</v>
      </c>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row>
    <row r="102" spans="1:255" s="54" customFormat="1" ht="25.5" customHeight="1">
      <c r="A102" s="229"/>
      <c r="B102" s="230"/>
      <c r="C102" s="267"/>
      <c r="D102" s="267"/>
      <c r="E102" s="268"/>
      <c r="F102" s="268"/>
      <c r="G102" s="279"/>
      <c r="H102" s="232"/>
      <c r="I102" s="308"/>
      <c r="J102" s="277"/>
      <c r="K102" s="33"/>
      <c r="L102" s="233"/>
      <c r="M102" s="234"/>
      <c r="N102" s="234"/>
      <c r="O102" s="234"/>
      <c r="P102" s="234"/>
      <c r="Q102" s="234"/>
      <c r="R102" s="234"/>
      <c r="S102" s="234"/>
      <c r="T102" s="46" t="s">
        <v>399</v>
      </c>
      <c r="U102" s="44"/>
      <c r="V102" s="171"/>
      <c r="W102" s="171" t="str">
        <f>'[1]bang gia'!$C$46</f>
        <v>đồng/cây</v>
      </c>
      <c r="X102" s="175">
        <v>26</v>
      </c>
      <c r="Y102" s="45">
        <v>4500000</v>
      </c>
      <c r="Z102" s="33"/>
      <c r="AA102" s="51">
        <v>1</v>
      </c>
      <c r="AB102" s="40">
        <f>X102*Y102*AA102</f>
        <v>117000000</v>
      </c>
      <c r="AC102" s="235"/>
      <c r="AD102" s="235"/>
      <c r="AE102" s="276"/>
    </row>
    <row r="103" spans="1:255" s="54" customFormat="1" ht="25.5" customHeight="1">
      <c r="A103" s="229"/>
      <c r="B103" s="230"/>
      <c r="C103" s="267"/>
      <c r="D103" s="267"/>
      <c r="E103" s="268"/>
      <c r="F103" s="268"/>
      <c r="G103" s="279"/>
      <c r="H103" s="232"/>
      <c r="I103" s="308"/>
      <c r="J103" s="277"/>
      <c r="K103" s="33"/>
      <c r="L103" s="233"/>
      <c r="M103" s="234"/>
      <c r="N103" s="234"/>
      <c r="O103" s="234"/>
      <c r="P103" s="234"/>
      <c r="Q103" s="234"/>
      <c r="R103" s="234"/>
      <c r="S103" s="234"/>
      <c r="T103" s="46" t="s">
        <v>401</v>
      </c>
      <c r="U103" s="44"/>
      <c r="V103" s="175">
        <f>(X101-X102)*0.3</f>
        <v>1.7999999999999998</v>
      </c>
      <c r="W103" s="171" t="str">
        <f>'[1]bang gia'!$C$46</f>
        <v>đồng/cây</v>
      </c>
      <c r="X103" s="175">
        <v>2</v>
      </c>
      <c r="Y103" s="45">
        <v>4500000</v>
      </c>
      <c r="Z103" s="33"/>
      <c r="AA103" s="39">
        <v>0.3</v>
      </c>
      <c r="AB103" s="40">
        <f>X103*Y103*AA103</f>
        <v>2700000</v>
      </c>
      <c r="AC103" s="235"/>
      <c r="AD103" s="235"/>
      <c r="AE103" s="276"/>
    </row>
    <row r="104" spans="1:255" s="54" customFormat="1" ht="25.5" customHeight="1">
      <c r="A104" s="229"/>
      <c r="B104" s="230"/>
      <c r="C104" s="267"/>
      <c r="D104" s="267"/>
      <c r="E104" s="268"/>
      <c r="F104" s="268"/>
      <c r="G104" s="279"/>
      <c r="H104" s="232"/>
      <c r="I104" s="308"/>
      <c r="J104" s="277"/>
      <c r="K104" s="33"/>
      <c r="L104" s="233"/>
      <c r="M104" s="234"/>
      <c r="N104" s="234"/>
      <c r="O104" s="234"/>
      <c r="P104" s="234"/>
      <c r="Q104" s="234"/>
      <c r="R104" s="234"/>
      <c r="S104" s="234"/>
      <c r="T104" s="46" t="s">
        <v>402</v>
      </c>
      <c r="U104" s="44"/>
      <c r="V104" s="171"/>
      <c r="W104" s="171" t="str">
        <f>'[1]bang gia'!$C$46</f>
        <v>đồng/cây</v>
      </c>
      <c r="X104" s="175">
        <f>X101-X102-X103</f>
        <v>4</v>
      </c>
      <c r="Y104" s="45">
        <v>4500000</v>
      </c>
      <c r="Z104" s="33"/>
      <c r="AA104" s="51">
        <v>0</v>
      </c>
      <c r="AB104" s="40">
        <f>X104*Y104*AA104</f>
        <v>0</v>
      </c>
      <c r="AC104" s="235"/>
      <c r="AD104" s="235"/>
      <c r="AE104" s="276"/>
    </row>
    <row r="105" spans="1:255" s="42" customFormat="1" ht="41.25" customHeight="1">
      <c r="A105" s="229"/>
      <c r="B105" s="230"/>
      <c r="C105" s="267"/>
      <c r="D105" s="267"/>
      <c r="E105" s="268"/>
      <c r="F105" s="268"/>
      <c r="G105" s="279"/>
      <c r="H105" s="232"/>
      <c r="I105" s="308"/>
      <c r="J105" s="277"/>
      <c r="K105" s="33"/>
      <c r="L105" s="233"/>
      <c r="M105" s="234"/>
      <c r="N105" s="234"/>
      <c r="O105" s="234"/>
      <c r="P105" s="234"/>
      <c r="Q105" s="234"/>
      <c r="R105" s="234"/>
      <c r="S105" s="234"/>
      <c r="T105" s="43" t="s">
        <v>712</v>
      </c>
      <c r="U105" s="44">
        <v>20</v>
      </c>
      <c r="V105" s="170">
        <f>(G101-3.7)/20*0.3</f>
        <v>9.6644999999999985</v>
      </c>
      <c r="W105" s="171" t="str">
        <f>'[1]bang gia'!$C$46</f>
        <v>đồng/cây</v>
      </c>
      <c r="X105" s="175">
        <v>12</v>
      </c>
      <c r="Y105" s="45"/>
      <c r="Z105" s="33"/>
      <c r="AA105" s="39"/>
      <c r="AB105" s="40"/>
      <c r="AC105" s="235"/>
      <c r="AD105" s="235"/>
      <c r="AE105" s="276"/>
    </row>
    <row r="106" spans="1:255" s="42" customFormat="1" ht="22.5" customHeight="1">
      <c r="A106" s="229"/>
      <c r="B106" s="230"/>
      <c r="C106" s="267"/>
      <c r="D106" s="267"/>
      <c r="E106" s="268"/>
      <c r="F106" s="268"/>
      <c r="G106" s="279"/>
      <c r="H106" s="232"/>
      <c r="I106" s="308"/>
      <c r="J106" s="277"/>
      <c r="K106" s="33"/>
      <c r="L106" s="233"/>
      <c r="M106" s="234"/>
      <c r="N106" s="234"/>
      <c r="O106" s="234"/>
      <c r="P106" s="234"/>
      <c r="Q106" s="234"/>
      <c r="R106" s="234"/>
      <c r="S106" s="234"/>
      <c r="T106" s="46" t="s">
        <v>401</v>
      </c>
      <c r="U106" s="44"/>
      <c r="V106" s="170"/>
      <c r="W106" s="171" t="str">
        <f>'[1]bang gia'!$C$46</f>
        <v>đồng/cây</v>
      </c>
      <c r="X106" s="175">
        <v>10</v>
      </c>
      <c r="Y106" s="45">
        <v>2500000</v>
      </c>
      <c r="Z106" s="33"/>
      <c r="AA106" s="39">
        <v>0.3</v>
      </c>
      <c r="AB106" s="40">
        <f>X106*Y106*AA106</f>
        <v>7500000</v>
      </c>
      <c r="AC106" s="235"/>
      <c r="AD106" s="235"/>
      <c r="AE106" s="158"/>
    </row>
    <row r="107" spans="1:255" s="42" customFormat="1" ht="22.5" customHeight="1">
      <c r="A107" s="229"/>
      <c r="B107" s="230"/>
      <c r="C107" s="267"/>
      <c r="D107" s="267"/>
      <c r="E107" s="268"/>
      <c r="F107" s="268"/>
      <c r="G107" s="279"/>
      <c r="H107" s="232"/>
      <c r="I107" s="308"/>
      <c r="J107" s="277"/>
      <c r="K107" s="33"/>
      <c r="L107" s="233"/>
      <c r="M107" s="234"/>
      <c r="N107" s="234"/>
      <c r="O107" s="234"/>
      <c r="P107" s="234"/>
      <c r="Q107" s="234"/>
      <c r="R107" s="234"/>
      <c r="S107" s="234"/>
      <c r="T107" s="46" t="s">
        <v>402</v>
      </c>
      <c r="U107" s="44"/>
      <c r="V107" s="170"/>
      <c r="W107" s="171" t="str">
        <f>'[1]bang gia'!$C$46</f>
        <v>đồng/cây</v>
      </c>
      <c r="X107" s="175">
        <f>X105-X106</f>
        <v>2</v>
      </c>
      <c r="Y107" s="45">
        <v>2500000</v>
      </c>
      <c r="Z107" s="33"/>
      <c r="AA107" s="51">
        <v>0</v>
      </c>
      <c r="AB107" s="40">
        <f>X107*Y107*AA107</f>
        <v>0</v>
      </c>
      <c r="AC107" s="235"/>
      <c r="AD107" s="235"/>
      <c r="AE107" s="158"/>
    </row>
    <row r="108" spans="1:255" s="41" customFormat="1" ht="43.5" customHeight="1">
      <c r="A108" s="229"/>
      <c r="B108" s="230"/>
      <c r="C108" s="267"/>
      <c r="D108" s="267"/>
      <c r="E108" s="268"/>
      <c r="F108" s="268"/>
      <c r="G108" s="279"/>
      <c r="H108" s="232"/>
      <c r="I108" s="308"/>
      <c r="J108" s="277"/>
      <c r="K108" s="55"/>
      <c r="L108" s="233"/>
      <c r="M108" s="234"/>
      <c r="N108" s="234"/>
      <c r="O108" s="234"/>
      <c r="P108" s="234"/>
      <c r="Q108" s="234"/>
      <c r="R108" s="234"/>
      <c r="S108" s="234"/>
      <c r="T108" s="43" t="s">
        <v>713</v>
      </c>
      <c r="U108" s="44"/>
      <c r="V108" s="171"/>
      <c r="W108" s="171" t="str">
        <f>'[1]bang gia'!$C$46</f>
        <v>đồng/cây</v>
      </c>
      <c r="X108" s="175">
        <v>10</v>
      </c>
      <c r="Y108" s="45">
        <v>500000</v>
      </c>
      <c r="Z108" s="33"/>
      <c r="AA108" s="39">
        <v>0</v>
      </c>
      <c r="AB108" s="40">
        <f>X108*Y108*AA108</f>
        <v>0</v>
      </c>
      <c r="AC108" s="235"/>
      <c r="AD108" s="235"/>
    </row>
    <row r="109" spans="1:255" s="42" customFormat="1" ht="21.75" customHeight="1">
      <c r="A109" s="229"/>
      <c r="B109" s="230"/>
      <c r="C109" s="267"/>
      <c r="D109" s="267"/>
      <c r="E109" s="268"/>
      <c r="F109" s="268"/>
      <c r="G109" s="279"/>
      <c r="H109" s="232"/>
      <c r="I109" s="308"/>
      <c r="J109" s="277"/>
      <c r="K109" s="33"/>
      <c r="L109" s="233"/>
      <c r="M109" s="234"/>
      <c r="N109" s="234"/>
      <c r="O109" s="234"/>
      <c r="P109" s="234"/>
      <c r="Q109" s="234"/>
      <c r="R109" s="234"/>
      <c r="S109" s="234"/>
      <c r="T109" s="43" t="s">
        <v>555</v>
      </c>
      <c r="U109" s="44"/>
      <c r="V109" s="171"/>
      <c r="W109" s="37" t="s">
        <v>0</v>
      </c>
      <c r="X109" s="40">
        <v>400</v>
      </c>
      <c r="Y109" s="45">
        <v>30000</v>
      </c>
      <c r="Z109" s="33"/>
      <c r="AA109" s="39">
        <v>1</v>
      </c>
      <c r="AB109" s="40">
        <f>X109*Y109*AA109</f>
        <v>12000000</v>
      </c>
      <c r="AC109" s="235"/>
      <c r="AD109" s="235"/>
    </row>
    <row r="110" spans="1:255" s="42" customFormat="1" ht="40.5" customHeight="1">
      <c r="A110" s="229"/>
      <c r="B110" s="230"/>
      <c r="C110" s="267"/>
      <c r="D110" s="267"/>
      <c r="E110" s="268"/>
      <c r="F110" s="268"/>
      <c r="G110" s="279"/>
      <c r="H110" s="232"/>
      <c r="I110" s="308"/>
      <c r="J110" s="277"/>
      <c r="K110" s="33"/>
      <c r="L110" s="233"/>
      <c r="M110" s="234"/>
      <c r="N110" s="234"/>
      <c r="O110" s="234"/>
      <c r="P110" s="234"/>
      <c r="Q110" s="234"/>
      <c r="R110" s="234"/>
      <c r="S110" s="234"/>
      <c r="T110" s="47" t="s">
        <v>556</v>
      </c>
      <c r="U110" s="163"/>
      <c r="V110" s="171"/>
      <c r="W110" s="163" t="s">
        <v>522</v>
      </c>
      <c r="X110" s="175">
        <v>32</v>
      </c>
      <c r="Y110" s="175"/>
      <c r="Z110" s="33"/>
      <c r="AA110" s="39">
        <v>0</v>
      </c>
      <c r="AB110" s="175">
        <v>0</v>
      </c>
      <c r="AC110" s="235"/>
      <c r="AD110" s="235"/>
    </row>
    <row r="111" spans="1:255" s="42" customFormat="1" ht="25.5" customHeight="1">
      <c r="A111" s="229"/>
      <c r="B111" s="230"/>
      <c r="C111" s="267"/>
      <c r="D111" s="267"/>
      <c r="E111" s="268"/>
      <c r="F111" s="268"/>
      <c r="G111" s="279"/>
      <c r="H111" s="232"/>
      <c r="I111" s="308"/>
      <c r="J111" s="277"/>
      <c r="K111" s="33"/>
      <c r="L111" s="233"/>
      <c r="M111" s="234"/>
      <c r="N111" s="234"/>
      <c r="O111" s="234"/>
      <c r="P111" s="234"/>
      <c r="Q111" s="234"/>
      <c r="R111" s="234"/>
      <c r="S111" s="234"/>
      <c r="T111" s="43" t="s">
        <v>557</v>
      </c>
      <c r="U111" s="44"/>
      <c r="V111" s="171"/>
      <c r="W111" s="171" t="s">
        <v>6</v>
      </c>
      <c r="X111" s="40" t="s">
        <v>558</v>
      </c>
      <c r="Y111" s="175"/>
      <c r="Z111" s="33"/>
      <c r="AA111" s="39">
        <v>0</v>
      </c>
      <c r="AB111" s="175">
        <v>0</v>
      </c>
      <c r="AC111" s="235"/>
      <c r="AD111" s="235"/>
    </row>
    <row r="112" spans="1:255" s="42" customFormat="1" ht="25.5" customHeight="1">
      <c r="A112" s="229"/>
      <c r="B112" s="230"/>
      <c r="C112" s="267"/>
      <c r="D112" s="267"/>
      <c r="E112" s="268"/>
      <c r="F112" s="268"/>
      <c r="G112" s="279"/>
      <c r="H112" s="232"/>
      <c r="I112" s="308"/>
      <c r="J112" s="277"/>
      <c r="K112" s="33"/>
      <c r="L112" s="233"/>
      <c r="M112" s="234"/>
      <c r="N112" s="234"/>
      <c r="O112" s="234"/>
      <c r="P112" s="234"/>
      <c r="Q112" s="234"/>
      <c r="R112" s="234"/>
      <c r="S112" s="234"/>
      <c r="T112" s="49" t="s">
        <v>559</v>
      </c>
      <c r="U112" s="35"/>
      <c r="V112" s="171"/>
      <c r="W112" s="171" t="s">
        <v>501</v>
      </c>
      <c r="X112" s="50"/>
      <c r="Y112" s="175"/>
      <c r="Z112" s="33"/>
      <c r="AA112" s="39">
        <v>0</v>
      </c>
      <c r="AB112" s="175">
        <v>0</v>
      </c>
      <c r="AC112" s="235"/>
      <c r="AD112" s="235"/>
    </row>
    <row r="113" spans="1:255" s="42" customFormat="1" ht="25.5" customHeight="1">
      <c r="A113" s="229"/>
      <c r="B113" s="230"/>
      <c r="C113" s="267"/>
      <c r="D113" s="267"/>
      <c r="E113" s="268"/>
      <c r="F113" s="268"/>
      <c r="G113" s="279"/>
      <c r="H113" s="232"/>
      <c r="I113" s="308"/>
      <c r="J113" s="277"/>
      <c r="K113" s="33"/>
      <c r="L113" s="233"/>
      <c r="M113" s="234"/>
      <c r="N113" s="234"/>
      <c r="O113" s="234"/>
      <c r="P113" s="234"/>
      <c r="Q113" s="234"/>
      <c r="R113" s="234"/>
      <c r="S113" s="234"/>
      <c r="T113" s="49" t="s">
        <v>405</v>
      </c>
      <c r="U113" s="35"/>
      <c r="V113" s="35"/>
      <c r="W113" s="35" t="s">
        <v>395</v>
      </c>
      <c r="X113" s="40">
        <v>1</v>
      </c>
      <c r="Y113" s="175"/>
      <c r="Z113" s="33"/>
      <c r="AA113" s="39">
        <v>0</v>
      </c>
      <c r="AB113" s="40">
        <f t="shared" ref="AB113:AB119" si="6">X113*Y113*AA113</f>
        <v>0</v>
      </c>
      <c r="AC113" s="235"/>
      <c r="AD113" s="235"/>
    </row>
    <row r="114" spans="1:255" s="42" customFormat="1" ht="63" customHeight="1">
      <c r="A114" s="229"/>
      <c r="B114" s="230"/>
      <c r="C114" s="267"/>
      <c r="D114" s="267"/>
      <c r="E114" s="268"/>
      <c r="F114" s="268"/>
      <c r="G114" s="279"/>
      <c r="H114" s="232"/>
      <c r="I114" s="308"/>
      <c r="J114" s="277"/>
      <c r="K114" s="33"/>
      <c r="L114" s="233"/>
      <c r="M114" s="234"/>
      <c r="N114" s="234"/>
      <c r="O114" s="234"/>
      <c r="P114" s="234"/>
      <c r="Q114" s="234"/>
      <c r="R114" s="234"/>
      <c r="S114" s="234"/>
      <c r="T114" s="47" t="s">
        <v>560</v>
      </c>
      <c r="U114" s="163"/>
      <c r="V114" s="171"/>
      <c r="W114" s="163" t="s">
        <v>7</v>
      </c>
      <c r="X114" s="53">
        <v>3.66</v>
      </c>
      <c r="Y114" s="161"/>
      <c r="Z114" s="33"/>
      <c r="AA114" s="39">
        <v>0</v>
      </c>
      <c r="AB114" s="175">
        <v>0</v>
      </c>
      <c r="AC114" s="235"/>
      <c r="AD114" s="235"/>
    </row>
    <row r="115" spans="1:255" s="42" customFormat="1" ht="33.75" customHeight="1">
      <c r="A115" s="229"/>
      <c r="B115" s="230"/>
      <c r="C115" s="267"/>
      <c r="D115" s="267"/>
      <c r="E115" s="268"/>
      <c r="F115" s="268"/>
      <c r="G115" s="279"/>
      <c r="H115" s="232"/>
      <c r="I115" s="308"/>
      <c r="J115" s="277"/>
      <c r="K115" s="33"/>
      <c r="L115" s="233"/>
      <c r="M115" s="234"/>
      <c r="N115" s="234"/>
      <c r="O115" s="234"/>
      <c r="P115" s="234"/>
      <c r="Q115" s="234"/>
      <c r="R115" s="234"/>
      <c r="S115" s="234"/>
      <c r="T115" s="43" t="s">
        <v>561</v>
      </c>
      <c r="U115" s="44"/>
      <c r="V115" s="171"/>
      <c r="W115" s="163" t="s">
        <v>6</v>
      </c>
      <c r="X115" s="40" t="s">
        <v>562</v>
      </c>
      <c r="Y115" s="161"/>
      <c r="Z115" s="33"/>
      <c r="AA115" s="39">
        <v>0</v>
      </c>
      <c r="AB115" s="175">
        <v>0</v>
      </c>
      <c r="AC115" s="235"/>
      <c r="AD115" s="235"/>
    </row>
    <row r="116" spans="1:255" s="42" customFormat="1" ht="27.75" customHeight="1">
      <c r="A116" s="229">
        <v>7</v>
      </c>
      <c r="B116" s="267" t="s">
        <v>563</v>
      </c>
      <c r="C116" s="267">
        <v>64</v>
      </c>
      <c r="D116" s="267">
        <v>542</v>
      </c>
      <c r="E116" s="268">
        <v>26.4</v>
      </c>
      <c r="F116" s="268" t="s">
        <v>26</v>
      </c>
      <c r="G116" s="232">
        <v>306</v>
      </c>
      <c r="H116" s="232"/>
      <c r="I116" s="307">
        <v>26.4</v>
      </c>
      <c r="J116" s="277">
        <v>1260</v>
      </c>
      <c r="K116" s="33"/>
      <c r="L116" s="233">
        <f>I116/J116*100</f>
        <v>2.0952380952380953</v>
      </c>
      <c r="M116" s="234">
        <f>IF(L116&lt;10,2,IF(L116&lt;20,3,IF(L116&lt;30,5,IF(L116&gt;=70,12,IF(L116&gt;=30,6)))))</f>
        <v>2</v>
      </c>
      <c r="N116" s="234">
        <v>1</v>
      </c>
      <c r="O116" s="234">
        <f>$O$7</f>
        <v>80000</v>
      </c>
      <c r="P116" s="234">
        <f>I116*O116</f>
        <v>2112000</v>
      </c>
      <c r="Q116" s="234">
        <f>$Q$7*I116</f>
        <v>6336000</v>
      </c>
      <c r="R116" s="234">
        <f>M116*N116*$R$7</f>
        <v>1020000</v>
      </c>
      <c r="S116" s="234">
        <f>R116+Q116+P116</f>
        <v>9468000</v>
      </c>
      <c r="T116" s="43" t="s">
        <v>564</v>
      </c>
      <c r="U116" s="44">
        <v>4</v>
      </c>
      <c r="V116" s="170">
        <f>I116/U116</f>
        <v>6.6</v>
      </c>
      <c r="W116" s="44" t="s">
        <v>392</v>
      </c>
      <c r="X116" s="175">
        <v>9</v>
      </c>
      <c r="Y116" s="175"/>
      <c r="Z116" s="33"/>
      <c r="AA116" s="39"/>
      <c r="AB116" s="40"/>
      <c r="AC116" s="235">
        <f>SUM(AB116:AB119)</f>
        <v>1600000</v>
      </c>
      <c r="AD116" s="235">
        <f>AC116+S116</f>
        <v>11068000</v>
      </c>
      <c r="AE116" s="275" t="s">
        <v>497</v>
      </c>
    </row>
    <row r="117" spans="1:255" s="42" customFormat="1" ht="35.25" customHeight="1">
      <c r="A117" s="229"/>
      <c r="B117" s="267"/>
      <c r="C117" s="267"/>
      <c r="D117" s="267"/>
      <c r="E117" s="268"/>
      <c r="F117" s="268"/>
      <c r="G117" s="232"/>
      <c r="H117" s="232"/>
      <c r="I117" s="307"/>
      <c r="J117" s="277"/>
      <c r="K117" s="33"/>
      <c r="L117" s="233"/>
      <c r="M117" s="234"/>
      <c r="N117" s="234"/>
      <c r="O117" s="234"/>
      <c r="P117" s="234"/>
      <c r="Q117" s="234"/>
      <c r="R117" s="234"/>
      <c r="S117" s="234"/>
      <c r="T117" s="46" t="s">
        <v>399</v>
      </c>
      <c r="U117" s="44"/>
      <c r="V117" s="171"/>
      <c r="W117" s="44" t="s">
        <v>392</v>
      </c>
      <c r="X117" s="175">
        <v>7</v>
      </c>
      <c r="Y117" s="175">
        <v>200000</v>
      </c>
      <c r="Z117" s="33"/>
      <c r="AA117" s="39">
        <v>1</v>
      </c>
      <c r="AB117" s="40">
        <f t="shared" si="6"/>
        <v>1400000</v>
      </c>
      <c r="AC117" s="235"/>
      <c r="AD117" s="235"/>
      <c r="AE117" s="276"/>
    </row>
    <row r="118" spans="1:255" s="42" customFormat="1" ht="35.25" customHeight="1">
      <c r="A118" s="229"/>
      <c r="B118" s="267"/>
      <c r="C118" s="267"/>
      <c r="D118" s="267"/>
      <c r="E118" s="268"/>
      <c r="F118" s="268"/>
      <c r="G118" s="232"/>
      <c r="H118" s="232"/>
      <c r="I118" s="307"/>
      <c r="J118" s="277"/>
      <c r="K118" s="33"/>
      <c r="L118" s="233"/>
      <c r="M118" s="234"/>
      <c r="N118" s="234"/>
      <c r="O118" s="234"/>
      <c r="P118" s="234"/>
      <c r="Q118" s="234"/>
      <c r="R118" s="234"/>
      <c r="S118" s="234"/>
      <c r="T118" s="46" t="s">
        <v>401</v>
      </c>
      <c r="U118" s="44"/>
      <c r="V118" s="175">
        <f>X117*0.3</f>
        <v>2.1</v>
      </c>
      <c r="W118" s="44" t="s">
        <v>392</v>
      </c>
      <c r="X118" s="175">
        <v>2</v>
      </c>
      <c r="Y118" s="175">
        <v>200000</v>
      </c>
      <c r="Z118" s="33"/>
      <c r="AA118" s="51">
        <v>0.5</v>
      </c>
      <c r="AB118" s="40">
        <f t="shared" si="6"/>
        <v>200000</v>
      </c>
      <c r="AC118" s="235"/>
      <c r="AD118" s="235"/>
      <c r="AE118" s="276"/>
    </row>
    <row r="119" spans="1:255" s="42" customFormat="1" ht="35.25" customHeight="1">
      <c r="A119" s="229"/>
      <c r="B119" s="267"/>
      <c r="C119" s="267"/>
      <c r="D119" s="267"/>
      <c r="E119" s="268"/>
      <c r="F119" s="268"/>
      <c r="G119" s="232"/>
      <c r="H119" s="232"/>
      <c r="I119" s="307"/>
      <c r="J119" s="277"/>
      <c r="K119" s="33"/>
      <c r="L119" s="233"/>
      <c r="M119" s="234"/>
      <c r="N119" s="234"/>
      <c r="O119" s="234"/>
      <c r="P119" s="234"/>
      <c r="Q119" s="234"/>
      <c r="R119" s="234"/>
      <c r="S119" s="234"/>
      <c r="T119" s="49" t="s">
        <v>565</v>
      </c>
      <c r="U119" s="35"/>
      <c r="V119" s="35"/>
      <c r="W119" s="35" t="s">
        <v>395</v>
      </c>
      <c r="X119" s="40">
        <v>1</v>
      </c>
      <c r="Y119" s="175"/>
      <c r="Z119" s="33"/>
      <c r="AA119" s="39">
        <v>0</v>
      </c>
      <c r="AB119" s="40">
        <f t="shared" si="6"/>
        <v>0</v>
      </c>
      <c r="AC119" s="235"/>
      <c r="AD119" s="235"/>
    </row>
    <row r="120" spans="1:255" s="42" customFormat="1" ht="40.5" customHeight="1">
      <c r="A120" s="229">
        <v>8</v>
      </c>
      <c r="B120" s="230" t="s">
        <v>687</v>
      </c>
      <c r="C120" s="267">
        <v>62</v>
      </c>
      <c r="D120" s="267">
        <v>470</v>
      </c>
      <c r="E120" s="268">
        <v>1439.7</v>
      </c>
      <c r="F120" s="268" t="s">
        <v>393</v>
      </c>
      <c r="G120" s="277">
        <v>1440</v>
      </c>
      <c r="H120" s="232">
        <f>E120-G120</f>
        <v>-0.29999999999995453</v>
      </c>
      <c r="I120" s="309">
        <v>1440</v>
      </c>
      <c r="J120" s="277">
        <v>1440</v>
      </c>
      <c r="K120" s="33"/>
      <c r="L120" s="233">
        <f>I120/J120*100</f>
        <v>100</v>
      </c>
      <c r="M120" s="234">
        <f>IF(L120&lt;10,2,IF(L120&lt;20,3,IF(L120&lt;30,5,IF(L120&gt;=70,12,IF(L120&gt;=30,6)))))</f>
        <v>12</v>
      </c>
      <c r="N120" s="234">
        <v>10</v>
      </c>
      <c r="O120" s="234">
        <f>$O$7</f>
        <v>80000</v>
      </c>
      <c r="P120" s="234">
        <f>I120*O120</f>
        <v>115200000</v>
      </c>
      <c r="Q120" s="234">
        <f>$Q$7*I120</f>
        <v>345600000</v>
      </c>
      <c r="R120" s="234">
        <f>M120*N120*$R$7</f>
        <v>61200000</v>
      </c>
      <c r="S120" s="234">
        <f>R120+Q120+P120</f>
        <v>522000000</v>
      </c>
      <c r="T120" s="49" t="s">
        <v>693</v>
      </c>
      <c r="U120" s="35">
        <v>25</v>
      </c>
      <c r="V120" s="170">
        <f>(G120-V136-V137-V138-V139-V140-V141)/25</f>
        <v>44.063999999999993</v>
      </c>
      <c r="W120" s="171" t="str">
        <f>'[1]bang gia'!$C$46</f>
        <v>đồng/cây</v>
      </c>
      <c r="X120" s="175">
        <v>20</v>
      </c>
      <c r="Y120" s="45"/>
      <c r="Z120" s="33"/>
      <c r="AA120" s="51"/>
      <c r="AB120" s="40"/>
      <c r="AC120" s="235">
        <f>SUM(AB120:AB147)</f>
        <v>255750000</v>
      </c>
      <c r="AD120" s="235">
        <f>AC120+S120</f>
        <v>777750000</v>
      </c>
      <c r="AE120" s="275" t="s">
        <v>567</v>
      </c>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row>
    <row r="121" spans="1:255" s="42" customFormat="1" ht="24.75" customHeight="1">
      <c r="A121" s="229"/>
      <c r="B121" s="230"/>
      <c r="C121" s="267"/>
      <c r="D121" s="267"/>
      <c r="E121" s="268"/>
      <c r="F121" s="268"/>
      <c r="G121" s="277"/>
      <c r="H121" s="232"/>
      <c r="I121" s="309"/>
      <c r="J121" s="277"/>
      <c r="K121" s="33"/>
      <c r="L121" s="233"/>
      <c r="M121" s="234"/>
      <c r="N121" s="234"/>
      <c r="O121" s="234"/>
      <c r="P121" s="234"/>
      <c r="Q121" s="234"/>
      <c r="R121" s="234"/>
      <c r="S121" s="234"/>
      <c r="T121" s="46" t="s">
        <v>399</v>
      </c>
      <c r="U121" s="35"/>
      <c r="V121" s="170"/>
      <c r="W121" s="171" t="str">
        <f>'[1]bang gia'!$C$46</f>
        <v>đồng/cây</v>
      </c>
      <c r="X121" s="175">
        <v>20</v>
      </c>
      <c r="Y121" s="45">
        <v>4500000</v>
      </c>
      <c r="Z121" s="33"/>
      <c r="AA121" s="51">
        <v>1</v>
      </c>
      <c r="AB121" s="40">
        <f>X121*Y121*AA121</f>
        <v>90000000</v>
      </c>
      <c r="AC121" s="235"/>
      <c r="AD121" s="235"/>
      <c r="AE121" s="276"/>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row>
    <row r="122" spans="1:255" s="42" customFormat="1" ht="39" customHeight="1">
      <c r="A122" s="229"/>
      <c r="B122" s="230"/>
      <c r="C122" s="267"/>
      <c r="D122" s="267"/>
      <c r="E122" s="268"/>
      <c r="F122" s="268"/>
      <c r="G122" s="277"/>
      <c r="H122" s="232"/>
      <c r="I122" s="309"/>
      <c r="J122" s="277"/>
      <c r="K122" s="33"/>
      <c r="L122" s="233"/>
      <c r="M122" s="234"/>
      <c r="N122" s="234"/>
      <c r="O122" s="234"/>
      <c r="P122" s="234"/>
      <c r="Q122" s="234"/>
      <c r="R122" s="234"/>
      <c r="S122" s="234"/>
      <c r="T122" s="49" t="s">
        <v>714</v>
      </c>
      <c r="U122" s="35"/>
      <c r="V122" s="171"/>
      <c r="W122" s="171" t="str">
        <f>'[1]bang gia'!$C$45</f>
        <v>đồng/cây</v>
      </c>
      <c r="X122" s="175">
        <v>18</v>
      </c>
      <c r="Y122" s="45"/>
      <c r="Z122" s="33"/>
      <c r="AA122" s="51"/>
      <c r="AB122" s="40"/>
      <c r="AC122" s="235"/>
      <c r="AD122" s="235"/>
      <c r="AE122" s="276"/>
    </row>
    <row r="123" spans="1:255" s="42" customFormat="1" ht="24.75" customHeight="1">
      <c r="A123" s="229"/>
      <c r="B123" s="230"/>
      <c r="C123" s="267"/>
      <c r="D123" s="267"/>
      <c r="E123" s="268"/>
      <c r="F123" s="268"/>
      <c r="G123" s="277"/>
      <c r="H123" s="232"/>
      <c r="I123" s="309"/>
      <c r="J123" s="277"/>
      <c r="K123" s="33"/>
      <c r="L123" s="233"/>
      <c r="M123" s="234"/>
      <c r="N123" s="234"/>
      <c r="O123" s="234"/>
      <c r="P123" s="234"/>
      <c r="Q123" s="234"/>
      <c r="R123" s="234"/>
      <c r="S123" s="234"/>
      <c r="T123" s="46" t="s">
        <v>399</v>
      </c>
      <c r="U123" s="35"/>
      <c r="V123" s="171"/>
      <c r="W123" s="171" t="str">
        <f>'[1]bang gia'!$C$46</f>
        <v>đồng/cây</v>
      </c>
      <c r="X123" s="175">
        <v>18</v>
      </c>
      <c r="Y123" s="45">
        <v>3850000</v>
      </c>
      <c r="Z123" s="33"/>
      <c r="AA123" s="51">
        <v>1</v>
      </c>
      <c r="AB123" s="40">
        <f>X123*Y123*AA123</f>
        <v>69300000</v>
      </c>
      <c r="AC123" s="235"/>
      <c r="AD123" s="235"/>
      <c r="AE123" s="276"/>
      <c r="AL123" s="42" t="s">
        <v>686</v>
      </c>
    </row>
    <row r="124" spans="1:255" s="42" customFormat="1" ht="40.5" customHeight="1">
      <c r="A124" s="229"/>
      <c r="B124" s="230"/>
      <c r="C124" s="267"/>
      <c r="D124" s="267"/>
      <c r="E124" s="268"/>
      <c r="F124" s="268"/>
      <c r="G124" s="277"/>
      <c r="H124" s="232"/>
      <c r="I124" s="309"/>
      <c r="J124" s="277"/>
      <c r="K124" s="33"/>
      <c r="L124" s="233"/>
      <c r="M124" s="234"/>
      <c r="N124" s="234"/>
      <c r="O124" s="234"/>
      <c r="P124" s="234"/>
      <c r="Q124" s="234"/>
      <c r="R124" s="234"/>
      <c r="S124" s="234"/>
      <c r="T124" s="43" t="s">
        <v>631</v>
      </c>
      <c r="U124" s="44">
        <v>20</v>
      </c>
      <c r="V124" s="170">
        <f>(G120-V136-V137-V138-V139-V140-V141)/20</f>
        <v>55.08</v>
      </c>
      <c r="W124" s="44" t="s">
        <v>2</v>
      </c>
      <c r="X124" s="175">
        <v>37</v>
      </c>
      <c r="Y124" s="45"/>
      <c r="Z124" s="33"/>
      <c r="AA124" s="51"/>
      <c r="AB124" s="40"/>
      <c r="AC124" s="235"/>
      <c r="AD124" s="235"/>
      <c r="AE124" s="276"/>
    </row>
    <row r="125" spans="1:255" s="42" customFormat="1" ht="24.75" customHeight="1">
      <c r="A125" s="229"/>
      <c r="B125" s="230"/>
      <c r="C125" s="267"/>
      <c r="D125" s="267"/>
      <c r="E125" s="268"/>
      <c r="F125" s="268"/>
      <c r="G125" s="277"/>
      <c r="H125" s="232"/>
      <c r="I125" s="309"/>
      <c r="J125" s="277"/>
      <c r="K125" s="33"/>
      <c r="L125" s="233"/>
      <c r="M125" s="234"/>
      <c r="N125" s="234"/>
      <c r="O125" s="234"/>
      <c r="P125" s="234"/>
      <c r="Q125" s="234"/>
      <c r="R125" s="234"/>
      <c r="S125" s="234"/>
      <c r="T125" s="46" t="s">
        <v>399</v>
      </c>
      <c r="U125" s="44"/>
      <c r="V125" s="171"/>
      <c r="W125" s="44" t="s">
        <v>2</v>
      </c>
      <c r="X125" s="175">
        <v>37</v>
      </c>
      <c r="Y125" s="45">
        <v>2500000</v>
      </c>
      <c r="Z125" s="33"/>
      <c r="AA125" s="51">
        <v>0.5</v>
      </c>
      <c r="AB125" s="40">
        <f>X125*Y125*AA125</f>
        <v>46250000</v>
      </c>
      <c r="AC125" s="235"/>
      <c r="AD125" s="235"/>
      <c r="AE125" s="42">
        <v>1440</v>
      </c>
      <c r="AL125" s="42" t="s">
        <v>686</v>
      </c>
    </row>
    <row r="126" spans="1:255" s="42" customFormat="1" ht="36.75" customHeight="1">
      <c r="A126" s="229"/>
      <c r="B126" s="230"/>
      <c r="C126" s="267"/>
      <c r="D126" s="267"/>
      <c r="E126" s="268"/>
      <c r="F126" s="268"/>
      <c r="G126" s="277"/>
      <c r="H126" s="232"/>
      <c r="I126" s="309"/>
      <c r="J126" s="277"/>
      <c r="K126" s="33"/>
      <c r="L126" s="233"/>
      <c r="M126" s="234"/>
      <c r="N126" s="234"/>
      <c r="O126" s="234"/>
      <c r="P126" s="234"/>
      <c r="Q126" s="234"/>
      <c r="R126" s="234"/>
      <c r="S126" s="234"/>
      <c r="T126" s="43" t="s">
        <v>688</v>
      </c>
      <c r="U126" s="44"/>
      <c r="V126" s="171"/>
      <c r="W126" s="44" t="s">
        <v>2</v>
      </c>
      <c r="X126" s="175">
        <v>8</v>
      </c>
      <c r="Y126" s="45"/>
      <c r="Z126" s="33"/>
      <c r="AA126" s="51"/>
      <c r="AB126" s="40"/>
      <c r="AC126" s="235"/>
      <c r="AD126" s="235"/>
      <c r="AE126" s="42">
        <v>338.4</v>
      </c>
    </row>
    <row r="127" spans="1:255" s="42" customFormat="1" ht="25.5" customHeight="1">
      <c r="A127" s="229"/>
      <c r="B127" s="230"/>
      <c r="C127" s="267"/>
      <c r="D127" s="267"/>
      <c r="E127" s="268"/>
      <c r="F127" s="268"/>
      <c r="G127" s="277"/>
      <c r="H127" s="232"/>
      <c r="I127" s="309"/>
      <c r="J127" s="277"/>
      <c r="K127" s="33"/>
      <c r="L127" s="233"/>
      <c r="M127" s="234"/>
      <c r="N127" s="234"/>
      <c r="O127" s="234"/>
      <c r="P127" s="234"/>
      <c r="Q127" s="234"/>
      <c r="R127" s="234"/>
      <c r="S127" s="234"/>
      <c r="T127" s="46" t="s">
        <v>399</v>
      </c>
      <c r="U127" s="44"/>
      <c r="V127" s="171"/>
      <c r="W127" s="44" t="s">
        <v>2</v>
      </c>
      <c r="X127" s="175">
        <v>8</v>
      </c>
      <c r="Y127" s="45">
        <v>1800000</v>
      </c>
      <c r="Z127" s="33"/>
      <c r="AA127" s="51">
        <v>0.5</v>
      </c>
      <c r="AB127" s="40">
        <f>X127*Y127*AA127</f>
        <v>7200000</v>
      </c>
      <c r="AC127" s="235"/>
      <c r="AD127" s="235"/>
      <c r="AE127" s="42">
        <f>AE125-AE126</f>
        <v>1101.5999999999999</v>
      </c>
      <c r="AL127" s="42" t="s">
        <v>686</v>
      </c>
    </row>
    <row r="128" spans="1:255" s="42" customFormat="1" ht="35.25" customHeight="1">
      <c r="A128" s="229"/>
      <c r="B128" s="230"/>
      <c r="C128" s="267"/>
      <c r="D128" s="267"/>
      <c r="E128" s="268"/>
      <c r="F128" s="268"/>
      <c r="G128" s="277"/>
      <c r="H128" s="232"/>
      <c r="I128" s="309"/>
      <c r="J128" s="277"/>
      <c r="K128" s="33"/>
      <c r="L128" s="233"/>
      <c r="M128" s="234"/>
      <c r="N128" s="234"/>
      <c r="O128" s="234"/>
      <c r="P128" s="234"/>
      <c r="Q128" s="234"/>
      <c r="R128" s="234"/>
      <c r="S128" s="234"/>
      <c r="T128" s="43" t="s">
        <v>689</v>
      </c>
      <c r="U128" s="44">
        <v>25</v>
      </c>
      <c r="V128" s="170">
        <f>(G120-V136-V137-V138-V139-V140-V141)/25</f>
        <v>44.063999999999993</v>
      </c>
      <c r="W128" s="171" t="str">
        <f>'[1]bang gia'!$C$46</f>
        <v>đồng/cây</v>
      </c>
      <c r="X128" s="175">
        <v>30</v>
      </c>
      <c r="Y128" s="45"/>
      <c r="Z128" s="33"/>
      <c r="AA128" s="51"/>
      <c r="AB128" s="40"/>
      <c r="AC128" s="235"/>
      <c r="AD128" s="235"/>
    </row>
    <row r="129" spans="1:30" s="42" customFormat="1" ht="24.75" customHeight="1">
      <c r="A129" s="229"/>
      <c r="B129" s="230"/>
      <c r="C129" s="267"/>
      <c r="D129" s="267"/>
      <c r="E129" s="268"/>
      <c r="F129" s="268"/>
      <c r="G129" s="277"/>
      <c r="H129" s="232"/>
      <c r="I129" s="309"/>
      <c r="J129" s="277"/>
      <c r="K129" s="33"/>
      <c r="L129" s="233"/>
      <c r="M129" s="234"/>
      <c r="N129" s="234"/>
      <c r="O129" s="234"/>
      <c r="P129" s="234"/>
      <c r="Q129" s="234"/>
      <c r="R129" s="234"/>
      <c r="S129" s="234"/>
      <c r="T129" s="46" t="s">
        <v>399</v>
      </c>
      <c r="U129" s="44"/>
      <c r="V129" s="171"/>
      <c r="W129" s="171" t="str">
        <f>'[1]bang gia'!$C$46</f>
        <v>đồng/cây</v>
      </c>
      <c r="X129" s="175">
        <v>30</v>
      </c>
      <c r="Y129" s="45">
        <v>500000</v>
      </c>
      <c r="Z129" s="33"/>
      <c r="AA129" s="51">
        <v>0.5</v>
      </c>
      <c r="AB129" s="40">
        <f>X129*Y129*AA129</f>
        <v>7500000</v>
      </c>
      <c r="AC129" s="235"/>
      <c r="AD129" s="235"/>
    </row>
    <row r="130" spans="1:30" s="42" customFormat="1" ht="35.25" customHeight="1">
      <c r="A130" s="229"/>
      <c r="B130" s="230"/>
      <c r="C130" s="267"/>
      <c r="D130" s="267"/>
      <c r="E130" s="268"/>
      <c r="F130" s="268"/>
      <c r="G130" s="277"/>
      <c r="H130" s="232"/>
      <c r="I130" s="309"/>
      <c r="J130" s="277"/>
      <c r="K130" s="33"/>
      <c r="L130" s="233"/>
      <c r="M130" s="234"/>
      <c r="N130" s="234"/>
      <c r="O130" s="234"/>
      <c r="P130" s="234"/>
      <c r="Q130" s="234"/>
      <c r="R130" s="234"/>
      <c r="S130" s="234"/>
      <c r="T130" s="43" t="s">
        <v>572</v>
      </c>
      <c r="U130" s="44">
        <v>25</v>
      </c>
      <c r="V130" s="56">
        <f>AE127/U130</f>
        <v>44.063999999999993</v>
      </c>
      <c r="W130" s="171" t="str">
        <f>'[1]bang gia'!$C$46</f>
        <v>đồng/cây</v>
      </c>
      <c r="X130" s="175">
        <v>25</v>
      </c>
      <c r="Y130" s="45"/>
      <c r="Z130" s="33"/>
      <c r="AA130" s="51"/>
      <c r="AB130" s="40"/>
      <c r="AC130" s="235"/>
      <c r="AD130" s="235"/>
    </row>
    <row r="131" spans="1:30" s="42" customFormat="1" ht="24" customHeight="1">
      <c r="A131" s="229"/>
      <c r="B131" s="230"/>
      <c r="C131" s="267"/>
      <c r="D131" s="267"/>
      <c r="E131" s="268"/>
      <c r="F131" s="268"/>
      <c r="G131" s="277"/>
      <c r="H131" s="232"/>
      <c r="I131" s="309"/>
      <c r="J131" s="277"/>
      <c r="K131" s="33"/>
      <c r="L131" s="233"/>
      <c r="M131" s="234"/>
      <c r="N131" s="234"/>
      <c r="O131" s="234"/>
      <c r="P131" s="234"/>
      <c r="Q131" s="234"/>
      <c r="R131" s="234"/>
      <c r="S131" s="234"/>
      <c r="T131" s="46" t="s">
        <v>399</v>
      </c>
      <c r="U131" s="44"/>
      <c r="V131" s="171"/>
      <c r="W131" s="171" t="str">
        <f>'[1]bang gia'!$C$46</f>
        <v>đồng/cây</v>
      </c>
      <c r="X131" s="175">
        <v>25</v>
      </c>
      <c r="Y131" s="45">
        <v>1500000</v>
      </c>
      <c r="Z131" s="33"/>
      <c r="AA131" s="51">
        <v>0.5</v>
      </c>
      <c r="AB131" s="40">
        <f>X131*Y131*AA131</f>
        <v>18750000</v>
      </c>
      <c r="AC131" s="235"/>
      <c r="AD131" s="235"/>
    </row>
    <row r="132" spans="1:30" s="42" customFormat="1" ht="36.75" customHeight="1">
      <c r="A132" s="229"/>
      <c r="B132" s="230"/>
      <c r="C132" s="267"/>
      <c r="D132" s="267"/>
      <c r="E132" s="268"/>
      <c r="F132" s="268"/>
      <c r="G132" s="277"/>
      <c r="H132" s="232"/>
      <c r="I132" s="309"/>
      <c r="J132" s="277"/>
      <c r="K132" s="33"/>
      <c r="L132" s="233"/>
      <c r="M132" s="234"/>
      <c r="N132" s="234"/>
      <c r="O132" s="234"/>
      <c r="P132" s="234"/>
      <c r="Q132" s="234"/>
      <c r="R132" s="234"/>
      <c r="S132" s="234"/>
      <c r="T132" s="43" t="s">
        <v>573</v>
      </c>
      <c r="U132" s="44">
        <v>4</v>
      </c>
      <c r="V132" s="171">
        <f>AE127/U132</f>
        <v>275.39999999999998</v>
      </c>
      <c r="W132" s="44" t="s">
        <v>2</v>
      </c>
      <c r="X132" s="175">
        <v>130</v>
      </c>
      <c r="Y132" s="45"/>
      <c r="Z132" s="33"/>
      <c r="AA132" s="51"/>
      <c r="AB132" s="40"/>
      <c r="AC132" s="235"/>
      <c r="AD132" s="235"/>
    </row>
    <row r="133" spans="1:30" s="42" customFormat="1" ht="24.75" customHeight="1">
      <c r="A133" s="229"/>
      <c r="B133" s="230"/>
      <c r="C133" s="267"/>
      <c r="D133" s="267"/>
      <c r="E133" s="268"/>
      <c r="F133" s="268"/>
      <c r="G133" s="277"/>
      <c r="H133" s="232"/>
      <c r="I133" s="309"/>
      <c r="J133" s="277"/>
      <c r="K133" s="33"/>
      <c r="L133" s="233"/>
      <c r="M133" s="234"/>
      <c r="N133" s="234"/>
      <c r="O133" s="234"/>
      <c r="P133" s="234"/>
      <c r="Q133" s="234"/>
      <c r="R133" s="234"/>
      <c r="S133" s="234"/>
      <c r="T133" s="46" t="s">
        <v>399</v>
      </c>
      <c r="U133" s="44"/>
      <c r="V133" s="171"/>
      <c r="W133" s="44" t="s">
        <v>2</v>
      </c>
      <c r="X133" s="175">
        <v>130</v>
      </c>
      <c r="Y133" s="45">
        <v>200000</v>
      </c>
      <c r="Z133" s="33"/>
      <c r="AA133" s="51">
        <v>0.5</v>
      </c>
      <c r="AB133" s="40">
        <f>X133*Y133*AA133</f>
        <v>13000000</v>
      </c>
      <c r="AC133" s="235"/>
      <c r="AD133" s="235"/>
    </row>
    <row r="134" spans="1:30" s="42" customFormat="1" ht="38.25" customHeight="1">
      <c r="A134" s="229"/>
      <c r="B134" s="230"/>
      <c r="C134" s="267"/>
      <c r="D134" s="267"/>
      <c r="E134" s="268"/>
      <c r="F134" s="268"/>
      <c r="G134" s="277"/>
      <c r="H134" s="232"/>
      <c r="I134" s="309"/>
      <c r="J134" s="277"/>
      <c r="K134" s="33"/>
      <c r="L134" s="233"/>
      <c r="M134" s="234"/>
      <c r="N134" s="234"/>
      <c r="O134" s="234"/>
      <c r="P134" s="234"/>
      <c r="Q134" s="234"/>
      <c r="R134" s="234"/>
      <c r="S134" s="234"/>
      <c r="T134" s="43" t="s">
        <v>574</v>
      </c>
      <c r="U134" s="44"/>
      <c r="V134" s="171"/>
      <c r="W134" s="44" t="s">
        <v>2</v>
      </c>
      <c r="X134" s="175">
        <v>50</v>
      </c>
      <c r="Y134" s="45"/>
      <c r="Z134" s="33"/>
      <c r="AA134" s="51"/>
      <c r="AB134" s="40"/>
      <c r="AC134" s="235"/>
      <c r="AD134" s="235"/>
    </row>
    <row r="135" spans="1:30" s="42" customFormat="1" ht="24.75" customHeight="1">
      <c r="A135" s="229"/>
      <c r="B135" s="230"/>
      <c r="C135" s="267"/>
      <c r="D135" s="267"/>
      <c r="E135" s="268"/>
      <c r="F135" s="268"/>
      <c r="G135" s="277"/>
      <c r="H135" s="232"/>
      <c r="I135" s="309"/>
      <c r="J135" s="277"/>
      <c r="K135" s="33"/>
      <c r="L135" s="233"/>
      <c r="M135" s="234"/>
      <c r="N135" s="234"/>
      <c r="O135" s="234"/>
      <c r="P135" s="234"/>
      <c r="Q135" s="234"/>
      <c r="R135" s="234"/>
      <c r="S135" s="234"/>
      <c r="T135" s="46" t="s">
        <v>399</v>
      </c>
      <c r="U135" s="44"/>
      <c r="V135" s="171"/>
      <c r="W135" s="44" t="s">
        <v>2</v>
      </c>
      <c r="X135" s="175">
        <v>50</v>
      </c>
      <c r="Y135" s="45">
        <v>150000</v>
      </c>
      <c r="Z135" s="33"/>
      <c r="AA135" s="51">
        <v>0.5</v>
      </c>
      <c r="AB135" s="40">
        <f>X135*Y135*AA135</f>
        <v>3750000</v>
      </c>
      <c r="AC135" s="235"/>
      <c r="AD135" s="235"/>
    </row>
    <row r="136" spans="1:30" s="42" customFormat="1" ht="43.5" customHeight="1">
      <c r="A136" s="229"/>
      <c r="B136" s="230"/>
      <c r="C136" s="267"/>
      <c r="D136" s="267"/>
      <c r="E136" s="268"/>
      <c r="F136" s="268"/>
      <c r="G136" s="277"/>
      <c r="H136" s="232"/>
      <c r="I136" s="309"/>
      <c r="J136" s="277"/>
      <c r="K136" s="33"/>
      <c r="L136" s="233"/>
      <c r="M136" s="234"/>
      <c r="N136" s="234"/>
      <c r="O136" s="234"/>
      <c r="P136" s="234"/>
      <c r="Q136" s="234"/>
      <c r="R136" s="234"/>
      <c r="S136" s="234"/>
      <c r="T136" s="43" t="s">
        <v>575</v>
      </c>
      <c r="U136" s="44"/>
      <c r="V136" s="171">
        <v>84</v>
      </c>
      <c r="W136" s="44"/>
      <c r="X136" s="175">
        <v>84</v>
      </c>
      <c r="Y136" s="175"/>
      <c r="Z136" s="33"/>
      <c r="AA136" s="39"/>
      <c r="AB136" s="175"/>
      <c r="AC136" s="235"/>
      <c r="AD136" s="235"/>
    </row>
    <row r="137" spans="1:30" s="42" customFormat="1" ht="43.5" customHeight="1">
      <c r="A137" s="229"/>
      <c r="B137" s="230"/>
      <c r="C137" s="267"/>
      <c r="D137" s="267"/>
      <c r="E137" s="268"/>
      <c r="F137" s="268"/>
      <c r="G137" s="277"/>
      <c r="H137" s="232"/>
      <c r="I137" s="309"/>
      <c r="J137" s="277"/>
      <c r="K137" s="33"/>
      <c r="L137" s="233"/>
      <c r="M137" s="234"/>
      <c r="N137" s="234"/>
      <c r="O137" s="234"/>
      <c r="P137" s="234"/>
      <c r="Q137" s="234"/>
      <c r="R137" s="234"/>
      <c r="S137" s="234"/>
      <c r="T137" s="43" t="s">
        <v>576</v>
      </c>
      <c r="U137" s="44"/>
      <c r="V137" s="171">
        <v>48</v>
      </c>
      <c r="W137" s="44"/>
      <c r="X137" s="175">
        <v>48</v>
      </c>
      <c r="Y137" s="175"/>
      <c r="Z137" s="33"/>
      <c r="AA137" s="39"/>
      <c r="AB137" s="175"/>
      <c r="AC137" s="235"/>
      <c r="AD137" s="235"/>
    </row>
    <row r="138" spans="1:30" s="42" customFormat="1" ht="24.75" customHeight="1">
      <c r="A138" s="229"/>
      <c r="B138" s="230"/>
      <c r="C138" s="267"/>
      <c r="D138" s="267"/>
      <c r="E138" s="268"/>
      <c r="F138" s="268"/>
      <c r="G138" s="277"/>
      <c r="H138" s="232"/>
      <c r="I138" s="309"/>
      <c r="J138" s="277"/>
      <c r="K138" s="33"/>
      <c r="L138" s="233"/>
      <c r="M138" s="234"/>
      <c r="N138" s="234"/>
      <c r="O138" s="234"/>
      <c r="P138" s="234"/>
      <c r="Q138" s="234"/>
      <c r="R138" s="234"/>
      <c r="S138" s="234"/>
      <c r="T138" s="43" t="s">
        <v>577</v>
      </c>
      <c r="U138" s="44"/>
      <c r="V138" s="171">
        <v>48</v>
      </c>
      <c r="W138" s="44"/>
      <c r="X138" s="175">
        <v>48</v>
      </c>
      <c r="Y138" s="175"/>
      <c r="Z138" s="33"/>
      <c r="AA138" s="39"/>
      <c r="AB138" s="175"/>
      <c r="AC138" s="235"/>
      <c r="AD138" s="235"/>
    </row>
    <row r="139" spans="1:30" s="42" customFormat="1" ht="45" customHeight="1">
      <c r="A139" s="229"/>
      <c r="B139" s="230"/>
      <c r="C139" s="267"/>
      <c r="D139" s="267"/>
      <c r="E139" s="268"/>
      <c r="F139" s="268"/>
      <c r="G139" s="277"/>
      <c r="H139" s="232"/>
      <c r="I139" s="309"/>
      <c r="J139" s="277"/>
      <c r="K139" s="33"/>
      <c r="L139" s="233"/>
      <c r="M139" s="234"/>
      <c r="N139" s="234"/>
      <c r="O139" s="234"/>
      <c r="P139" s="234"/>
      <c r="Q139" s="234"/>
      <c r="R139" s="234"/>
      <c r="S139" s="234"/>
      <c r="T139" s="47" t="s">
        <v>578</v>
      </c>
      <c r="U139" s="163"/>
      <c r="V139" s="171">
        <v>152</v>
      </c>
      <c r="W139" s="163" t="s">
        <v>6</v>
      </c>
      <c r="X139" s="163">
        <v>152</v>
      </c>
      <c r="Y139" s="161"/>
      <c r="Z139" s="33"/>
      <c r="AA139" s="39"/>
      <c r="AB139" s="175"/>
      <c r="AC139" s="235"/>
      <c r="AD139" s="235"/>
    </row>
    <row r="140" spans="1:30" s="42" customFormat="1" ht="45" customHeight="1">
      <c r="A140" s="229"/>
      <c r="B140" s="230"/>
      <c r="C140" s="267"/>
      <c r="D140" s="267"/>
      <c r="E140" s="268"/>
      <c r="F140" s="268"/>
      <c r="G140" s="277"/>
      <c r="H140" s="232"/>
      <c r="I140" s="309"/>
      <c r="J140" s="277"/>
      <c r="K140" s="33"/>
      <c r="L140" s="233"/>
      <c r="M140" s="234"/>
      <c r="N140" s="234"/>
      <c r="O140" s="234"/>
      <c r="P140" s="234"/>
      <c r="Q140" s="234"/>
      <c r="R140" s="234"/>
      <c r="S140" s="234"/>
      <c r="T140" s="47" t="s">
        <v>579</v>
      </c>
      <c r="U140" s="163"/>
      <c r="V140" s="171">
        <v>2.4</v>
      </c>
      <c r="W140" s="163" t="s">
        <v>7</v>
      </c>
      <c r="X140" s="175">
        <v>6</v>
      </c>
      <c r="Y140" s="161"/>
      <c r="Z140" s="33"/>
      <c r="AA140" s="39"/>
      <c r="AB140" s="175"/>
      <c r="AC140" s="235"/>
      <c r="AD140" s="235"/>
    </row>
    <row r="141" spans="1:30" s="42" customFormat="1" ht="45" customHeight="1">
      <c r="A141" s="229"/>
      <c r="B141" s="230"/>
      <c r="C141" s="267"/>
      <c r="D141" s="267"/>
      <c r="E141" s="268"/>
      <c r="F141" s="268"/>
      <c r="G141" s="277"/>
      <c r="H141" s="232"/>
      <c r="I141" s="309"/>
      <c r="J141" s="277"/>
      <c r="K141" s="33"/>
      <c r="L141" s="233"/>
      <c r="M141" s="234"/>
      <c r="N141" s="234"/>
      <c r="O141" s="234"/>
      <c r="P141" s="234"/>
      <c r="Q141" s="234"/>
      <c r="R141" s="234"/>
      <c r="S141" s="234"/>
      <c r="T141" s="47" t="s">
        <v>580</v>
      </c>
      <c r="U141" s="163"/>
      <c r="V141" s="171">
        <v>4</v>
      </c>
      <c r="W141" s="163" t="s">
        <v>7</v>
      </c>
      <c r="X141" s="175">
        <v>6</v>
      </c>
      <c r="Y141" s="161"/>
      <c r="Z141" s="33"/>
      <c r="AA141" s="39"/>
      <c r="AB141" s="175"/>
      <c r="AC141" s="235"/>
      <c r="AD141" s="235"/>
    </row>
    <row r="142" spans="1:30" s="42" customFormat="1" ht="24.75" customHeight="1">
      <c r="A142" s="229"/>
      <c r="B142" s="230"/>
      <c r="C142" s="267"/>
      <c r="D142" s="267"/>
      <c r="E142" s="268"/>
      <c r="F142" s="268"/>
      <c r="G142" s="277"/>
      <c r="H142" s="232"/>
      <c r="I142" s="309"/>
      <c r="J142" s="277"/>
      <c r="K142" s="33"/>
      <c r="L142" s="233"/>
      <c r="M142" s="234"/>
      <c r="N142" s="234"/>
      <c r="O142" s="234"/>
      <c r="P142" s="234"/>
      <c r="Q142" s="234"/>
      <c r="R142" s="234"/>
      <c r="S142" s="234"/>
      <c r="T142" s="49" t="s">
        <v>581</v>
      </c>
      <c r="U142" s="35"/>
      <c r="V142" s="171"/>
      <c r="W142" s="171" t="s">
        <v>501</v>
      </c>
      <c r="X142" s="180">
        <v>1.6</v>
      </c>
      <c r="Y142" s="175"/>
      <c r="Z142" s="33"/>
      <c r="AA142" s="39"/>
      <c r="AB142" s="175"/>
      <c r="AC142" s="235"/>
      <c r="AD142" s="235"/>
    </row>
    <row r="143" spans="1:30" s="42" customFormat="1" ht="24.75" customHeight="1">
      <c r="A143" s="229"/>
      <c r="B143" s="230"/>
      <c r="C143" s="267"/>
      <c r="D143" s="267"/>
      <c r="E143" s="268"/>
      <c r="F143" s="268"/>
      <c r="G143" s="277"/>
      <c r="H143" s="232"/>
      <c r="I143" s="309"/>
      <c r="J143" s="277"/>
      <c r="K143" s="33"/>
      <c r="L143" s="233"/>
      <c r="M143" s="234"/>
      <c r="N143" s="234"/>
      <c r="O143" s="234"/>
      <c r="P143" s="234"/>
      <c r="Q143" s="234"/>
      <c r="R143" s="234"/>
      <c r="S143" s="234"/>
      <c r="T143" s="43" t="s">
        <v>582</v>
      </c>
      <c r="U143" s="44"/>
      <c r="V143" s="171"/>
      <c r="W143" s="171" t="s">
        <v>6</v>
      </c>
      <c r="X143" s="180">
        <v>366</v>
      </c>
      <c r="Y143" s="161"/>
      <c r="Z143" s="33"/>
      <c r="AA143" s="39"/>
      <c r="AB143" s="175"/>
      <c r="AC143" s="235"/>
      <c r="AD143" s="235"/>
    </row>
    <row r="144" spans="1:30" s="42" customFormat="1" ht="23.25" customHeight="1">
      <c r="A144" s="229"/>
      <c r="B144" s="230"/>
      <c r="C144" s="267"/>
      <c r="D144" s="267"/>
      <c r="E144" s="268"/>
      <c r="F144" s="268"/>
      <c r="G144" s="277"/>
      <c r="H144" s="232"/>
      <c r="I144" s="309"/>
      <c r="J144" s="277"/>
      <c r="K144" s="33"/>
      <c r="L144" s="233"/>
      <c r="M144" s="234"/>
      <c r="N144" s="234"/>
      <c r="O144" s="234"/>
      <c r="P144" s="234"/>
      <c r="Q144" s="234"/>
      <c r="R144" s="234"/>
      <c r="S144" s="234"/>
      <c r="T144" s="47" t="s">
        <v>583</v>
      </c>
      <c r="U144" s="163"/>
      <c r="V144" s="171"/>
      <c r="W144" s="171" t="s">
        <v>6</v>
      </c>
      <c r="X144" s="175">
        <v>90</v>
      </c>
      <c r="Y144" s="161"/>
      <c r="Z144" s="33"/>
      <c r="AA144" s="39"/>
      <c r="AB144" s="175"/>
      <c r="AC144" s="235"/>
      <c r="AD144" s="235"/>
    </row>
    <row r="145" spans="1:255" s="42" customFormat="1" ht="36.75" customHeight="1">
      <c r="A145" s="229"/>
      <c r="B145" s="230"/>
      <c r="C145" s="267"/>
      <c r="D145" s="267"/>
      <c r="E145" s="268"/>
      <c r="F145" s="268"/>
      <c r="G145" s="277"/>
      <c r="H145" s="232"/>
      <c r="I145" s="309"/>
      <c r="J145" s="277"/>
      <c r="K145" s="33"/>
      <c r="L145" s="233"/>
      <c r="M145" s="234"/>
      <c r="N145" s="234"/>
      <c r="O145" s="234"/>
      <c r="P145" s="234"/>
      <c r="Q145" s="234"/>
      <c r="R145" s="234"/>
      <c r="S145" s="234"/>
      <c r="T145" s="47" t="s">
        <v>584</v>
      </c>
      <c r="U145" s="163"/>
      <c r="V145" s="171"/>
      <c r="W145" s="163" t="s">
        <v>7</v>
      </c>
      <c r="X145" s="163">
        <v>1.5</v>
      </c>
      <c r="Y145" s="161"/>
      <c r="Z145" s="33"/>
      <c r="AA145" s="39"/>
      <c r="AB145" s="175"/>
      <c r="AC145" s="235"/>
      <c r="AD145" s="235"/>
    </row>
    <row r="146" spans="1:255" s="42" customFormat="1" ht="24.75" customHeight="1">
      <c r="A146" s="229"/>
      <c r="B146" s="230"/>
      <c r="C146" s="267"/>
      <c r="D146" s="267"/>
      <c r="E146" s="268"/>
      <c r="F146" s="268"/>
      <c r="G146" s="277"/>
      <c r="H146" s="232"/>
      <c r="I146" s="309"/>
      <c r="J146" s="277"/>
      <c r="K146" s="33"/>
      <c r="L146" s="233"/>
      <c r="M146" s="234"/>
      <c r="N146" s="234"/>
      <c r="O146" s="234"/>
      <c r="P146" s="234"/>
      <c r="Q146" s="234"/>
      <c r="R146" s="234"/>
      <c r="S146" s="234"/>
      <c r="T146" s="47" t="s">
        <v>585</v>
      </c>
      <c r="U146" s="163"/>
      <c r="V146" s="171"/>
      <c r="W146" s="163" t="s">
        <v>6</v>
      </c>
      <c r="X146" s="180">
        <v>8.5</v>
      </c>
      <c r="Y146" s="161"/>
      <c r="Z146" s="33"/>
      <c r="AA146" s="39"/>
      <c r="AB146" s="175"/>
      <c r="AC146" s="235"/>
      <c r="AD146" s="235"/>
    </row>
    <row r="147" spans="1:255" s="42" customFormat="1" ht="24.75" customHeight="1">
      <c r="A147" s="229"/>
      <c r="B147" s="230"/>
      <c r="C147" s="267"/>
      <c r="D147" s="267"/>
      <c r="E147" s="268"/>
      <c r="F147" s="268"/>
      <c r="G147" s="277"/>
      <c r="H147" s="232"/>
      <c r="I147" s="309"/>
      <c r="J147" s="277"/>
      <c r="K147" s="33"/>
      <c r="L147" s="233"/>
      <c r="M147" s="234"/>
      <c r="N147" s="234"/>
      <c r="O147" s="234"/>
      <c r="P147" s="234"/>
      <c r="Q147" s="234"/>
      <c r="R147" s="234"/>
      <c r="S147" s="234"/>
      <c r="T147" s="49" t="s">
        <v>586</v>
      </c>
      <c r="U147" s="35"/>
      <c r="V147" s="35"/>
      <c r="W147" s="35" t="s">
        <v>395</v>
      </c>
      <c r="X147" s="40">
        <v>2</v>
      </c>
      <c r="Y147" s="175"/>
      <c r="Z147" s="33"/>
      <c r="AA147" s="39"/>
      <c r="AB147" s="175"/>
      <c r="AC147" s="235"/>
      <c r="AD147" s="235"/>
    </row>
    <row r="148" spans="1:255" s="42" customFormat="1" ht="39" customHeight="1">
      <c r="A148" s="229">
        <v>9</v>
      </c>
      <c r="B148" s="231" t="s">
        <v>587</v>
      </c>
      <c r="C148" s="267">
        <v>62</v>
      </c>
      <c r="D148" s="267">
        <v>484</v>
      </c>
      <c r="E148" s="268">
        <v>324.10000000000002</v>
      </c>
      <c r="F148" s="268" t="s">
        <v>26</v>
      </c>
      <c r="G148" s="232">
        <v>324</v>
      </c>
      <c r="H148" s="232">
        <f>E148-G148</f>
        <v>0.10000000000002274</v>
      </c>
      <c r="I148" s="307">
        <v>324</v>
      </c>
      <c r="J148" s="232">
        <v>324</v>
      </c>
      <c r="K148" s="33"/>
      <c r="L148" s="233">
        <f>I148/J148*100</f>
        <v>100</v>
      </c>
      <c r="M148" s="234">
        <f>IF(L148&lt;10,2,IF(L148&lt;20,3,IF(L148&lt;30,5,IF(L148&gt;=70,12,IF(L148&gt;=30,6)))))</f>
        <v>12</v>
      </c>
      <c r="N148" s="234">
        <v>3</v>
      </c>
      <c r="O148" s="234">
        <f>$O$7</f>
        <v>80000</v>
      </c>
      <c r="P148" s="234">
        <f>I148*O148</f>
        <v>25920000</v>
      </c>
      <c r="Q148" s="234">
        <f>$Q$7*I148</f>
        <v>77760000</v>
      </c>
      <c r="R148" s="234">
        <f>M148*N148*$R$7</f>
        <v>18360000</v>
      </c>
      <c r="S148" s="234">
        <f>R148+Q148+P148</f>
        <v>122040000</v>
      </c>
      <c r="T148" s="43" t="s">
        <v>715</v>
      </c>
      <c r="U148" s="44">
        <v>20</v>
      </c>
      <c r="V148" s="170">
        <f>I148/U148</f>
        <v>16.2</v>
      </c>
      <c r="W148" s="171" t="str">
        <f>'[1]bang gia'!$C$46</f>
        <v>đồng/cây</v>
      </c>
      <c r="X148" s="175">
        <v>27</v>
      </c>
      <c r="Y148" s="45"/>
      <c r="Z148" s="33"/>
      <c r="AA148" s="39"/>
      <c r="AB148" s="40"/>
      <c r="AC148" s="235">
        <f>SUM(AB148:AB154)</f>
        <v>43690000</v>
      </c>
      <c r="AD148" s="235">
        <f>AC148+S148</f>
        <v>165730000</v>
      </c>
      <c r="AE148" s="275" t="s">
        <v>492</v>
      </c>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row>
    <row r="149" spans="1:255" s="42" customFormat="1" ht="23.25" customHeight="1">
      <c r="A149" s="229"/>
      <c r="B149" s="231"/>
      <c r="C149" s="267"/>
      <c r="D149" s="267"/>
      <c r="E149" s="268"/>
      <c r="F149" s="268"/>
      <c r="G149" s="232"/>
      <c r="H149" s="232"/>
      <c r="I149" s="307"/>
      <c r="J149" s="232"/>
      <c r="K149" s="33"/>
      <c r="L149" s="233"/>
      <c r="M149" s="234"/>
      <c r="N149" s="234"/>
      <c r="O149" s="234"/>
      <c r="P149" s="234"/>
      <c r="Q149" s="234"/>
      <c r="R149" s="234"/>
      <c r="S149" s="234"/>
      <c r="T149" s="46" t="s">
        <v>399</v>
      </c>
      <c r="U149" s="44"/>
      <c r="V149" s="171"/>
      <c r="W149" s="171" t="str">
        <f>'[1]bang gia'!$C$46</f>
        <v>đồng/cây</v>
      </c>
      <c r="X149" s="40">
        <v>16</v>
      </c>
      <c r="Y149" s="45">
        <v>2500000</v>
      </c>
      <c r="Z149" s="33"/>
      <c r="AA149" s="51">
        <v>1</v>
      </c>
      <c r="AB149" s="40">
        <f>X149*Y149*AA149</f>
        <v>40000000</v>
      </c>
      <c r="AC149" s="235"/>
      <c r="AD149" s="235"/>
      <c r="AE149" s="276"/>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row>
    <row r="150" spans="1:255" s="42" customFormat="1" ht="24" customHeight="1">
      <c r="A150" s="229"/>
      <c r="B150" s="231"/>
      <c r="C150" s="267"/>
      <c r="D150" s="267"/>
      <c r="E150" s="268"/>
      <c r="F150" s="268"/>
      <c r="G150" s="232"/>
      <c r="H150" s="232"/>
      <c r="I150" s="307"/>
      <c r="J150" s="232"/>
      <c r="K150" s="33"/>
      <c r="L150" s="233"/>
      <c r="M150" s="234"/>
      <c r="N150" s="234"/>
      <c r="O150" s="234"/>
      <c r="P150" s="234"/>
      <c r="Q150" s="234"/>
      <c r="R150" s="234"/>
      <c r="S150" s="234"/>
      <c r="T150" s="46" t="s">
        <v>401</v>
      </c>
      <c r="U150" s="44"/>
      <c r="V150" s="175">
        <f>(X148-X149)*0.3</f>
        <v>3.3</v>
      </c>
      <c r="W150" s="171" t="str">
        <f>'[1]bang gia'!$C$46</f>
        <v>đồng/cây</v>
      </c>
      <c r="X150" s="40">
        <v>3</v>
      </c>
      <c r="Y150" s="45">
        <v>2500000</v>
      </c>
      <c r="Z150" s="33"/>
      <c r="AA150" s="51">
        <v>0.3</v>
      </c>
      <c r="AB150" s="40">
        <f>X150*Y150*AA150</f>
        <v>2250000</v>
      </c>
      <c r="AC150" s="235"/>
      <c r="AD150" s="235"/>
      <c r="AE150" s="276"/>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row>
    <row r="151" spans="1:255" s="42" customFormat="1" ht="24" customHeight="1">
      <c r="A151" s="229"/>
      <c r="B151" s="231"/>
      <c r="C151" s="267"/>
      <c r="D151" s="267"/>
      <c r="E151" s="268"/>
      <c r="F151" s="268"/>
      <c r="G151" s="232"/>
      <c r="H151" s="232"/>
      <c r="I151" s="307"/>
      <c r="J151" s="232"/>
      <c r="K151" s="33"/>
      <c r="L151" s="233"/>
      <c r="M151" s="234"/>
      <c r="N151" s="234"/>
      <c r="O151" s="234"/>
      <c r="P151" s="234"/>
      <c r="Q151" s="234"/>
      <c r="R151" s="234"/>
      <c r="S151" s="234"/>
      <c r="T151" s="46" t="s">
        <v>402</v>
      </c>
      <c r="U151" s="44"/>
      <c r="V151" s="171"/>
      <c r="W151" s="171" t="str">
        <f>'[1]bang gia'!$C$46</f>
        <v>đồng/cây</v>
      </c>
      <c r="X151" s="40">
        <v>3</v>
      </c>
      <c r="Y151" s="45">
        <v>2500000</v>
      </c>
      <c r="Z151" s="33"/>
      <c r="AA151" s="39">
        <v>0</v>
      </c>
      <c r="AB151" s="40">
        <f>X151*Y151*AA151</f>
        <v>0</v>
      </c>
      <c r="AC151" s="235"/>
      <c r="AD151" s="235"/>
      <c r="AE151" s="276"/>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row>
    <row r="152" spans="1:255" s="42" customFormat="1" ht="44.25" customHeight="1">
      <c r="A152" s="229"/>
      <c r="B152" s="231"/>
      <c r="C152" s="267"/>
      <c r="D152" s="267"/>
      <c r="E152" s="268"/>
      <c r="F152" s="268"/>
      <c r="G152" s="232"/>
      <c r="H152" s="232"/>
      <c r="I152" s="307"/>
      <c r="J152" s="232"/>
      <c r="K152" s="33"/>
      <c r="L152" s="233"/>
      <c r="M152" s="234"/>
      <c r="N152" s="234"/>
      <c r="O152" s="234"/>
      <c r="P152" s="234"/>
      <c r="Q152" s="234"/>
      <c r="R152" s="234"/>
      <c r="S152" s="234"/>
      <c r="T152" s="43" t="s">
        <v>429</v>
      </c>
      <c r="U152" s="44">
        <v>4</v>
      </c>
      <c r="V152" s="170">
        <f>I148/U152*0.3</f>
        <v>24.3</v>
      </c>
      <c r="W152" s="44" t="s">
        <v>392</v>
      </c>
      <c r="X152" s="175">
        <v>40</v>
      </c>
      <c r="Y152" s="175"/>
      <c r="Z152" s="33"/>
      <c r="AA152" s="39"/>
      <c r="AB152" s="40"/>
      <c r="AC152" s="235"/>
      <c r="AD152" s="235"/>
      <c r="AE152" s="276"/>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row>
    <row r="153" spans="1:255" s="42" customFormat="1" ht="30.75" customHeight="1">
      <c r="A153" s="229"/>
      <c r="B153" s="231"/>
      <c r="C153" s="267"/>
      <c r="D153" s="267"/>
      <c r="E153" s="268"/>
      <c r="F153" s="268"/>
      <c r="G153" s="232"/>
      <c r="H153" s="232"/>
      <c r="I153" s="307"/>
      <c r="J153" s="232"/>
      <c r="K153" s="33"/>
      <c r="L153" s="233"/>
      <c r="M153" s="234"/>
      <c r="N153" s="234"/>
      <c r="O153" s="234"/>
      <c r="P153" s="234"/>
      <c r="Q153" s="234"/>
      <c r="R153" s="234"/>
      <c r="S153" s="234"/>
      <c r="T153" s="46" t="s">
        <v>401</v>
      </c>
      <c r="U153" s="44"/>
      <c r="V153" s="170"/>
      <c r="W153" s="44" t="s">
        <v>392</v>
      </c>
      <c r="X153" s="175">
        <v>24</v>
      </c>
      <c r="Y153" s="175">
        <v>200000</v>
      </c>
      <c r="Z153" s="33"/>
      <c r="AA153" s="39">
        <v>0.3</v>
      </c>
      <c r="AB153" s="40">
        <f>X153*Y153*AA153</f>
        <v>1440000</v>
      </c>
      <c r="AC153" s="235"/>
      <c r="AD153" s="235"/>
      <c r="AE153" s="158"/>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row>
    <row r="154" spans="1:255" s="42" customFormat="1" ht="30.75" customHeight="1">
      <c r="A154" s="229"/>
      <c r="B154" s="231"/>
      <c r="C154" s="267"/>
      <c r="D154" s="267"/>
      <c r="E154" s="268"/>
      <c r="F154" s="268"/>
      <c r="G154" s="232"/>
      <c r="H154" s="232"/>
      <c r="I154" s="307"/>
      <c r="J154" s="232"/>
      <c r="K154" s="33"/>
      <c r="L154" s="233"/>
      <c r="M154" s="234"/>
      <c r="N154" s="234"/>
      <c r="O154" s="234"/>
      <c r="P154" s="234"/>
      <c r="Q154" s="234"/>
      <c r="R154" s="234"/>
      <c r="S154" s="234"/>
      <c r="T154" s="46" t="s">
        <v>402</v>
      </c>
      <c r="U154" s="44"/>
      <c r="V154" s="171"/>
      <c r="W154" s="44" t="s">
        <v>392</v>
      </c>
      <c r="X154" s="175">
        <f>X152-X153</f>
        <v>16</v>
      </c>
      <c r="Y154" s="175">
        <v>200000</v>
      </c>
      <c r="Z154" s="33"/>
      <c r="AA154" s="51">
        <v>0</v>
      </c>
      <c r="AB154" s="40">
        <f>X154*Y154*AA154</f>
        <v>0</v>
      </c>
      <c r="AC154" s="235"/>
      <c r="AD154" s="235"/>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row>
    <row r="155" spans="1:255" s="42" customFormat="1" ht="39" customHeight="1">
      <c r="A155" s="229">
        <v>10</v>
      </c>
      <c r="B155" s="231" t="s">
        <v>588</v>
      </c>
      <c r="C155" s="267">
        <v>62</v>
      </c>
      <c r="D155" s="267">
        <v>486</v>
      </c>
      <c r="E155" s="268">
        <v>971.5</v>
      </c>
      <c r="F155" s="268" t="s">
        <v>26</v>
      </c>
      <c r="G155" s="232">
        <v>972</v>
      </c>
      <c r="H155" s="232">
        <f>E155-G155</f>
        <v>-0.5</v>
      </c>
      <c r="I155" s="307">
        <v>972</v>
      </c>
      <c r="J155" s="232">
        <v>1566</v>
      </c>
      <c r="K155" s="33"/>
      <c r="L155" s="233">
        <f>(I155+G161+G166)/J155*100</f>
        <v>100</v>
      </c>
      <c r="M155" s="234">
        <f>IF(L155&lt;10,2,IF(L155&lt;20,3,IF(L155&lt;30,5,IF(L155&gt;=70,12,IF(L155&gt;=30,6)))))</f>
        <v>12</v>
      </c>
      <c r="N155" s="234">
        <v>4</v>
      </c>
      <c r="O155" s="234">
        <f>$O$7</f>
        <v>80000</v>
      </c>
      <c r="P155" s="234">
        <f>(I155+G161+G166)*O155</f>
        <v>125280000</v>
      </c>
      <c r="Q155" s="234">
        <f>$Q$7*(I155+G161+G166)</f>
        <v>375840000</v>
      </c>
      <c r="R155" s="234">
        <f>M155*N155*$R$7</f>
        <v>24480000</v>
      </c>
      <c r="S155" s="234">
        <f>R155+Q155+P155</f>
        <v>525600000</v>
      </c>
      <c r="T155" s="49" t="s">
        <v>716</v>
      </c>
      <c r="U155" s="35">
        <v>25</v>
      </c>
      <c r="V155" s="170">
        <f>G155/U155</f>
        <v>38.880000000000003</v>
      </c>
      <c r="W155" s="171" t="str">
        <f>'[1]bang gia'!$C$46</f>
        <v>đồng/cây</v>
      </c>
      <c r="X155" s="175">
        <v>10</v>
      </c>
      <c r="Y155" s="45"/>
      <c r="Z155" s="33"/>
      <c r="AA155" s="39"/>
      <c r="AB155" s="40"/>
      <c r="AC155" s="235">
        <f>SUM(AB155:AB160)</f>
        <v>149200000</v>
      </c>
      <c r="AD155" s="235">
        <f>AC155+AC161+AC166+S155</f>
        <v>793800000</v>
      </c>
      <c r="AE155" s="236" t="s">
        <v>590</v>
      </c>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row>
    <row r="156" spans="1:255" s="42" customFormat="1" ht="27" customHeight="1">
      <c r="A156" s="229"/>
      <c r="B156" s="231"/>
      <c r="C156" s="267"/>
      <c r="D156" s="267"/>
      <c r="E156" s="268"/>
      <c r="F156" s="268"/>
      <c r="G156" s="232"/>
      <c r="H156" s="232"/>
      <c r="I156" s="307"/>
      <c r="J156" s="232"/>
      <c r="K156" s="33"/>
      <c r="L156" s="233"/>
      <c r="M156" s="234"/>
      <c r="N156" s="234"/>
      <c r="O156" s="234"/>
      <c r="P156" s="234"/>
      <c r="Q156" s="234"/>
      <c r="R156" s="234"/>
      <c r="S156" s="234"/>
      <c r="T156" s="46" t="s">
        <v>399</v>
      </c>
      <c r="U156" s="35"/>
      <c r="V156" s="171"/>
      <c r="W156" s="171" t="str">
        <f>'[1]bang gia'!$C$46</f>
        <v>đồng/cây</v>
      </c>
      <c r="X156" s="175">
        <v>10</v>
      </c>
      <c r="Y156" s="45">
        <v>4500000</v>
      </c>
      <c r="Z156" s="33"/>
      <c r="AA156" s="39">
        <v>1</v>
      </c>
      <c r="AB156" s="40">
        <f>X156*Y156*AA156</f>
        <v>45000000</v>
      </c>
      <c r="AC156" s="235"/>
      <c r="AD156" s="235"/>
      <c r="AE156" s="237"/>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row>
    <row r="157" spans="1:255" s="42" customFormat="1" ht="37.5" customHeight="1">
      <c r="A157" s="229"/>
      <c r="B157" s="231"/>
      <c r="C157" s="267"/>
      <c r="D157" s="267"/>
      <c r="E157" s="268"/>
      <c r="F157" s="268"/>
      <c r="G157" s="232"/>
      <c r="H157" s="232"/>
      <c r="I157" s="307"/>
      <c r="J157" s="232"/>
      <c r="K157" s="33"/>
      <c r="L157" s="233"/>
      <c r="M157" s="234"/>
      <c r="N157" s="234"/>
      <c r="O157" s="234"/>
      <c r="P157" s="234"/>
      <c r="Q157" s="234"/>
      <c r="R157" s="234"/>
      <c r="S157" s="234"/>
      <c r="T157" s="43" t="s">
        <v>591</v>
      </c>
      <c r="U157" s="35"/>
      <c r="V157" s="171"/>
      <c r="W157" s="171" t="str">
        <f>'[1]bang gia'!$C$45</f>
        <v>đồng/cây</v>
      </c>
      <c r="X157" s="175">
        <v>17</v>
      </c>
      <c r="Y157" s="45"/>
      <c r="Z157" s="33"/>
      <c r="AA157" s="39"/>
      <c r="AB157" s="40"/>
      <c r="AC157" s="235"/>
      <c r="AD157" s="235"/>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row>
    <row r="158" spans="1:255" s="42" customFormat="1" ht="27" customHeight="1">
      <c r="A158" s="229"/>
      <c r="B158" s="231"/>
      <c r="C158" s="267"/>
      <c r="D158" s="267"/>
      <c r="E158" s="268"/>
      <c r="F158" s="268"/>
      <c r="G158" s="232"/>
      <c r="H158" s="232"/>
      <c r="I158" s="307"/>
      <c r="J158" s="232"/>
      <c r="K158" s="33"/>
      <c r="L158" s="233"/>
      <c r="M158" s="234"/>
      <c r="N158" s="234"/>
      <c r="O158" s="234"/>
      <c r="P158" s="234"/>
      <c r="Q158" s="234"/>
      <c r="R158" s="234"/>
      <c r="S158" s="234"/>
      <c r="T158" s="57" t="s">
        <v>399</v>
      </c>
      <c r="U158" s="35"/>
      <c r="V158" s="171"/>
      <c r="W158" s="171" t="str">
        <f>'[1]bang gia'!$C$45</f>
        <v>đồng/cây</v>
      </c>
      <c r="X158" s="175">
        <v>17</v>
      </c>
      <c r="Y158" s="45">
        <v>3850000</v>
      </c>
      <c r="Z158" s="33"/>
      <c r="AA158" s="39">
        <v>1</v>
      </c>
      <c r="AB158" s="40">
        <f>X158*Y158*AA158</f>
        <v>65450000</v>
      </c>
      <c r="AC158" s="235"/>
      <c r="AD158" s="235"/>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row>
    <row r="159" spans="1:255" s="42" customFormat="1" ht="34.5" customHeight="1">
      <c r="A159" s="229"/>
      <c r="B159" s="231"/>
      <c r="C159" s="267"/>
      <c r="D159" s="267"/>
      <c r="E159" s="268"/>
      <c r="F159" s="268"/>
      <c r="G159" s="232"/>
      <c r="H159" s="232"/>
      <c r="I159" s="307"/>
      <c r="J159" s="232"/>
      <c r="K159" s="33"/>
      <c r="L159" s="233"/>
      <c r="M159" s="234"/>
      <c r="N159" s="234"/>
      <c r="O159" s="234"/>
      <c r="P159" s="234"/>
      <c r="Q159" s="234"/>
      <c r="R159" s="234"/>
      <c r="S159" s="234"/>
      <c r="T159" s="43" t="s">
        <v>695</v>
      </c>
      <c r="U159" s="35">
        <v>20</v>
      </c>
      <c r="V159" s="170">
        <f>G155/U159</f>
        <v>48.6</v>
      </c>
      <c r="W159" s="171" t="str">
        <f>'[1]bang gia'!$C$45</f>
        <v>đồng/cây</v>
      </c>
      <c r="X159" s="175">
        <v>31</v>
      </c>
      <c r="Y159" s="45"/>
      <c r="Z159" s="33"/>
      <c r="AA159" s="39"/>
      <c r="AB159" s="40"/>
      <c r="AC159" s="235"/>
      <c r="AD159" s="235"/>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row>
    <row r="160" spans="1:255" s="42" customFormat="1" ht="27" customHeight="1">
      <c r="A160" s="229"/>
      <c r="B160" s="231"/>
      <c r="C160" s="267"/>
      <c r="D160" s="267"/>
      <c r="E160" s="268"/>
      <c r="F160" s="268"/>
      <c r="G160" s="232"/>
      <c r="H160" s="232"/>
      <c r="I160" s="307"/>
      <c r="J160" s="232"/>
      <c r="K160" s="33"/>
      <c r="L160" s="233"/>
      <c r="M160" s="234"/>
      <c r="N160" s="234"/>
      <c r="O160" s="234"/>
      <c r="P160" s="234"/>
      <c r="Q160" s="234"/>
      <c r="R160" s="234"/>
      <c r="S160" s="234"/>
      <c r="T160" s="46" t="s">
        <v>399</v>
      </c>
      <c r="U160" s="44"/>
      <c r="V160" s="171"/>
      <c r="W160" s="171" t="str">
        <f>'[1]bang gia'!$C$46</f>
        <v>đồng/cây</v>
      </c>
      <c r="X160" s="175">
        <v>31</v>
      </c>
      <c r="Y160" s="45">
        <v>2500000</v>
      </c>
      <c r="Z160" s="33"/>
      <c r="AA160" s="39">
        <v>0.5</v>
      </c>
      <c r="AB160" s="40">
        <f>X160*Y160*AA160</f>
        <v>38750000</v>
      </c>
      <c r="AC160" s="235"/>
      <c r="AD160" s="235"/>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row>
    <row r="161" spans="1:255" s="42" customFormat="1" ht="38.25" customHeight="1">
      <c r="A161" s="229"/>
      <c r="B161" s="231"/>
      <c r="C161" s="267">
        <v>62</v>
      </c>
      <c r="D161" s="267">
        <v>483</v>
      </c>
      <c r="E161" s="268">
        <v>324</v>
      </c>
      <c r="F161" s="268" t="s">
        <v>26</v>
      </c>
      <c r="G161" s="279">
        <v>324</v>
      </c>
      <c r="H161" s="232">
        <v>0.3</v>
      </c>
      <c r="I161" s="308">
        <v>324</v>
      </c>
      <c r="J161" s="232"/>
      <c r="K161" s="33"/>
      <c r="L161" s="233"/>
      <c r="M161" s="234"/>
      <c r="N161" s="234"/>
      <c r="O161" s="234"/>
      <c r="P161" s="234"/>
      <c r="Q161" s="234"/>
      <c r="R161" s="234"/>
      <c r="S161" s="234"/>
      <c r="T161" s="49" t="s">
        <v>693</v>
      </c>
      <c r="U161" s="35">
        <v>25</v>
      </c>
      <c r="V161" s="170">
        <f>G161/U161</f>
        <v>12.96</v>
      </c>
      <c r="W161" s="171" t="str">
        <f>'[1]bang gia'!$C$46</f>
        <v>đồng/cây</v>
      </c>
      <c r="X161" s="175">
        <v>10</v>
      </c>
      <c r="Y161" s="175"/>
      <c r="Z161" s="33"/>
      <c r="AA161" s="39"/>
      <c r="AB161" s="175"/>
      <c r="AC161" s="235">
        <f>SUM(AB161:AB165)</f>
        <v>65000000</v>
      </c>
      <c r="AD161" s="235"/>
      <c r="AE161" s="236" t="s">
        <v>590</v>
      </c>
    </row>
    <row r="162" spans="1:255" s="42" customFormat="1" ht="28.5" customHeight="1">
      <c r="A162" s="229"/>
      <c r="B162" s="231"/>
      <c r="C162" s="267"/>
      <c r="D162" s="267"/>
      <c r="E162" s="268"/>
      <c r="F162" s="268"/>
      <c r="G162" s="279"/>
      <c r="H162" s="232"/>
      <c r="I162" s="308"/>
      <c r="J162" s="232"/>
      <c r="K162" s="33"/>
      <c r="L162" s="233"/>
      <c r="M162" s="234"/>
      <c r="N162" s="234"/>
      <c r="O162" s="234"/>
      <c r="P162" s="234"/>
      <c r="Q162" s="234"/>
      <c r="R162" s="234"/>
      <c r="S162" s="234"/>
      <c r="T162" s="46" t="s">
        <v>399</v>
      </c>
      <c r="U162" s="35"/>
      <c r="V162" s="171"/>
      <c r="W162" s="171" t="str">
        <f>'[1]bang gia'!$C$46</f>
        <v>đồng/cây</v>
      </c>
      <c r="X162" s="175">
        <v>10</v>
      </c>
      <c r="Y162" s="45">
        <v>4500000</v>
      </c>
      <c r="Z162" s="33"/>
      <c r="AA162" s="39">
        <v>1</v>
      </c>
      <c r="AB162" s="40">
        <f>X162*Y162*AA162</f>
        <v>45000000</v>
      </c>
      <c r="AC162" s="235"/>
      <c r="AD162" s="235"/>
      <c r="AE162" s="237"/>
    </row>
    <row r="163" spans="1:255" s="42" customFormat="1" ht="39" customHeight="1">
      <c r="A163" s="229"/>
      <c r="B163" s="231"/>
      <c r="C163" s="267"/>
      <c r="D163" s="267"/>
      <c r="E163" s="268"/>
      <c r="F163" s="268"/>
      <c r="G163" s="279"/>
      <c r="H163" s="232"/>
      <c r="I163" s="308"/>
      <c r="J163" s="232"/>
      <c r="K163" s="33"/>
      <c r="L163" s="233"/>
      <c r="M163" s="234"/>
      <c r="N163" s="234"/>
      <c r="O163" s="234"/>
      <c r="P163" s="234"/>
      <c r="Q163" s="234"/>
      <c r="R163" s="234"/>
      <c r="S163" s="234"/>
      <c r="T163" s="43" t="s">
        <v>712</v>
      </c>
      <c r="U163" s="35">
        <v>20</v>
      </c>
      <c r="V163" s="170">
        <f>G161/U163</f>
        <v>16.2</v>
      </c>
      <c r="W163" s="171" t="str">
        <f>'[1]bang gia'!$C$51</f>
        <v>đồng/cây</v>
      </c>
      <c r="X163" s="175">
        <v>30</v>
      </c>
      <c r="Y163" s="45"/>
      <c r="Z163" s="33"/>
      <c r="AA163" s="51"/>
      <c r="AB163" s="40"/>
      <c r="AC163" s="235"/>
      <c r="AD163" s="235"/>
    </row>
    <row r="164" spans="1:255" s="42" customFormat="1" ht="28.5" customHeight="1">
      <c r="A164" s="229"/>
      <c r="B164" s="231"/>
      <c r="C164" s="267"/>
      <c r="D164" s="267"/>
      <c r="E164" s="268"/>
      <c r="F164" s="268"/>
      <c r="G164" s="279"/>
      <c r="H164" s="232"/>
      <c r="I164" s="308"/>
      <c r="J164" s="232"/>
      <c r="K164" s="33"/>
      <c r="L164" s="233"/>
      <c r="M164" s="234"/>
      <c r="N164" s="234"/>
      <c r="O164" s="234"/>
      <c r="P164" s="234"/>
      <c r="Q164" s="234"/>
      <c r="R164" s="234"/>
      <c r="S164" s="234"/>
      <c r="T164" s="46" t="s">
        <v>399</v>
      </c>
      <c r="U164" s="35"/>
      <c r="V164" s="171"/>
      <c r="W164" s="171" t="str">
        <f>'[1]bang gia'!$C$51</f>
        <v>đồng/cây</v>
      </c>
      <c r="X164" s="175">
        <v>16</v>
      </c>
      <c r="Y164" s="45">
        <v>2500000</v>
      </c>
      <c r="Z164" s="33"/>
      <c r="AA164" s="51">
        <v>0.5</v>
      </c>
      <c r="AB164" s="40">
        <f>X164*Y164*AA164</f>
        <v>20000000</v>
      </c>
      <c r="AC164" s="235"/>
      <c r="AD164" s="235"/>
    </row>
    <row r="165" spans="1:255" s="42" customFormat="1" ht="28.5" customHeight="1">
      <c r="A165" s="229"/>
      <c r="B165" s="231"/>
      <c r="C165" s="267"/>
      <c r="D165" s="267"/>
      <c r="E165" s="268"/>
      <c r="F165" s="268"/>
      <c r="G165" s="279"/>
      <c r="H165" s="232"/>
      <c r="I165" s="308"/>
      <c r="J165" s="232"/>
      <c r="K165" s="33"/>
      <c r="L165" s="233"/>
      <c r="M165" s="234"/>
      <c r="N165" s="234"/>
      <c r="O165" s="234"/>
      <c r="P165" s="234"/>
      <c r="Q165" s="234"/>
      <c r="R165" s="234"/>
      <c r="S165" s="234"/>
      <c r="T165" s="57" t="s">
        <v>592</v>
      </c>
      <c r="U165" s="35"/>
      <c r="V165" s="171"/>
      <c r="W165" s="171" t="str">
        <f>'[1]bang gia'!$C$51</f>
        <v>đồng/cây</v>
      </c>
      <c r="X165" s="175">
        <f>X163-X164</f>
        <v>14</v>
      </c>
      <c r="Y165" s="45">
        <v>2500000</v>
      </c>
      <c r="Z165" s="33"/>
      <c r="AA165" s="51">
        <v>0</v>
      </c>
      <c r="AB165" s="40">
        <f>X165*Y165*AA165</f>
        <v>0</v>
      </c>
      <c r="AC165" s="235"/>
      <c r="AD165" s="235"/>
    </row>
    <row r="166" spans="1:255" s="42" customFormat="1" ht="40.5" customHeight="1">
      <c r="A166" s="229"/>
      <c r="B166" s="231"/>
      <c r="C166" s="267">
        <v>64</v>
      </c>
      <c r="D166" s="267">
        <v>511</v>
      </c>
      <c r="E166" s="268">
        <v>269</v>
      </c>
      <c r="F166" s="268" t="s">
        <v>26</v>
      </c>
      <c r="G166" s="279">
        <v>270</v>
      </c>
      <c r="H166" s="232">
        <v>0.3</v>
      </c>
      <c r="I166" s="308">
        <v>270</v>
      </c>
      <c r="J166" s="232"/>
      <c r="K166" s="33"/>
      <c r="L166" s="233"/>
      <c r="M166" s="234"/>
      <c r="N166" s="234"/>
      <c r="O166" s="234"/>
      <c r="P166" s="234"/>
      <c r="Q166" s="234"/>
      <c r="R166" s="234"/>
      <c r="S166" s="234"/>
      <c r="T166" s="49" t="s">
        <v>693</v>
      </c>
      <c r="U166" s="35">
        <v>25</v>
      </c>
      <c r="V166" s="170">
        <f>G166/U166</f>
        <v>10.8</v>
      </c>
      <c r="W166" s="171" t="str">
        <f>'[1]bang gia'!$C$46</f>
        <v>đồng/cây</v>
      </c>
      <c r="X166" s="175">
        <v>13</v>
      </c>
      <c r="Y166" s="175"/>
      <c r="Z166" s="33"/>
      <c r="AA166" s="39"/>
      <c r="AB166" s="175"/>
      <c r="AC166" s="235">
        <f>SUM(AB166:AB172)</f>
        <v>54000000</v>
      </c>
      <c r="AD166" s="235"/>
    </row>
    <row r="167" spans="1:255" s="42" customFormat="1" ht="25.5" customHeight="1">
      <c r="A167" s="229"/>
      <c r="B167" s="231"/>
      <c r="C167" s="267"/>
      <c r="D167" s="267"/>
      <c r="E167" s="268"/>
      <c r="F167" s="268"/>
      <c r="G167" s="279"/>
      <c r="H167" s="232"/>
      <c r="I167" s="308"/>
      <c r="J167" s="232"/>
      <c r="K167" s="33"/>
      <c r="L167" s="233"/>
      <c r="M167" s="234"/>
      <c r="N167" s="234"/>
      <c r="O167" s="234"/>
      <c r="P167" s="234"/>
      <c r="Q167" s="234"/>
      <c r="R167" s="234"/>
      <c r="S167" s="234"/>
      <c r="T167" s="46" t="s">
        <v>399</v>
      </c>
      <c r="U167" s="35"/>
      <c r="V167" s="171"/>
      <c r="W167" s="171" t="str">
        <f>'[1]bang gia'!$C$46</f>
        <v>đồng/cây</v>
      </c>
      <c r="X167" s="175">
        <v>11</v>
      </c>
      <c r="Y167" s="45">
        <v>4500000</v>
      </c>
      <c r="Z167" s="33"/>
      <c r="AA167" s="39">
        <v>1</v>
      </c>
      <c r="AB167" s="40">
        <f>X167*Y167*AA167</f>
        <v>49500000</v>
      </c>
      <c r="AC167" s="235"/>
      <c r="AD167" s="235"/>
      <c r="AE167" s="281" t="s">
        <v>497</v>
      </c>
    </row>
    <row r="168" spans="1:255" s="42" customFormat="1" ht="25.5" customHeight="1">
      <c r="A168" s="229"/>
      <c r="B168" s="231"/>
      <c r="C168" s="267"/>
      <c r="D168" s="267"/>
      <c r="E168" s="268"/>
      <c r="F168" s="268"/>
      <c r="G168" s="279"/>
      <c r="H168" s="232"/>
      <c r="I168" s="308"/>
      <c r="J168" s="232"/>
      <c r="K168" s="33"/>
      <c r="L168" s="233"/>
      <c r="M168" s="234"/>
      <c r="N168" s="234"/>
      <c r="O168" s="234"/>
      <c r="P168" s="234"/>
      <c r="Q168" s="234"/>
      <c r="R168" s="234"/>
      <c r="S168" s="234"/>
      <c r="T168" s="57" t="s">
        <v>401</v>
      </c>
      <c r="U168" s="35"/>
      <c r="V168" s="170">
        <f>V166*0.3</f>
        <v>3.24</v>
      </c>
      <c r="W168" s="171" t="str">
        <f>'[1]bang gia'!$C$46</f>
        <v>đồng/cây</v>
      </c>
      <c r="X168" s="175">
        <f>X166-X167</f>
        <v>2</v>
      </c>
      <c r="Y168" s="45">
        <v>4500000</v>
      </c>
      <c r="Z168" s="33"/>
      <c r="AA168" s="39">
        <v>0.5</v>
      </c>
      <c r="AB168" s="40">
        <f>X168*Y168*AA168</f>
        <v>4500000</v>
      </c>
      <c r="AC168" s="235"/>
      <c r="AD168" s="235"/>
      <c r="AE168" s="281"/>
    </row>
    <row r="169" spans="1:255" s="42" customFormat="1" ht="39" customHeight="1">
      <c r="A169" s="229"/>
      <c r="B169" s="231"/>
      <c r="C169" s="267"/>
      <c r="D169" s="267"/>
      <c r="E169" s="268"/>
      <c r="F169" s="268"/>
      <c r="G169" s="279"/>
      <c r="H169" s="232"/>
      <c r="I169" s="308"/>
      <c r="J169" s="232"/>
      <c r="K169" s="33"/>
      <c r="L169" s="233"/>
      <c r="M169" s="234"/>
      <c r="N169" s="234"/>
      <c r="O169" s="234"/>
      <c r="P169" s="234"/>
      <c r="Q169" s="234"/>
      <c r="R169" s="234"/>
      <c r="S169" s="234"/>
      <c r="T169" s="49" t="s">
        <v>593</v>
      </c>
      <c r="U169" s="35"/>
      <c r="V169" s="171"/>
      <c r="W169" s="163" t="s">
        <v>6</v>
      </c>
      <c r="X169" s="175"/>
      <c r="Y169" s="175"/>
      <c r="Z169" s="33"/>
      <c r="AA169" s="39"/>
      <c r="AB169" s="175"/>
      <c r="AC169" s="235"/>
      <c r="AD169" s="235"/>
      <c r="AE169" s="281"/>
    </row>
    <row r="170" spans="1:255" s="42" customFormat="1" ht="23.25" customHeight="1">
      <c r="A170" s="229"/>
      <c r="B170" s="231"/>
      <c r="C170" s="267"/>
      <c r="D170" s="267"/>
      <c r="E170" s="268"/>
      <c r="F170" s="268"/>
      <c r="G170" s="279"/>
      <c r="H170" s="232"/>
      <c r="I170" s="308"/>
      <c r="J170" s="232"/>
      <c r="K170" s="33"/>
      <c r="L170" s="233"/>
      <c r="M170" s="234"/>
      <c r="N170" s="234"/>
      <c r="O170" s="234"/>
      <c r="P170" s="234"/>
      <c r="Q170" s="234"/>
      <c r="R170" s="234"/>
      <c r="S170" s="234"/>
      <c r="T170" s="49" t="s">
        <v>594</v>
      </c>
      <c r="U170" s="35"/>
      <c r="V170" s="171"/>
      <c r="W170" s="171" t="s">
        <v>501</v>
      </c>
      <c r="X170" s="50">
        <v>0.3</v>
      </c>
      <c r="Y170" s="175"/>
      <c r="Z170" s="33"/>
      <c r="AA170" s="39"/>
      <c r="AB170" s="175"/>
      <c r="AC170" s="235"/>
      <c r="AD170" s="235"/>
    </row>
    <row r="171" spans="1:255" s="42" customFormat="1" ht="31.15" customHeight="1">
      <c r="A171" s="229"/>
      <c r="B171" s="231"/>
      <c r="C171" s="267"/>
      <c r="D171" s="267"/>
      <c r="E171" s="268"/>
      <c r="F171" s="268"/>
      <c r="G171" s="279"/>
      <c r="H171" s="232"/>
      <c r="I171" s="308"/>
      <c r="J171" s="232"/>
      <c r="K171" s="33"/>
      <c r="L171" s="233"/>
      <c r="M171" s="234"/>
      <c r="N171" s="234"/>
      <c r="O171" s="234"/>
      <c r="P171" s="234"/>
      <c r="Q171" s="234"/>
      <c r="R171" s="234"/>
      <c r="S171" s="234"/>
      <c r="T171" s="47" t="s">
        <v>595</v>
      </c>
      <c r="U171" s="163"/>
      <c r="V171" s="171"/>
      <c r="W171" s="163" t="s">
        <v>6</v>
      </c>
      <c r="X171" s="175"/>
      <c r="Y171" s="175"/>
      <c r="Z171" s="33"/>
      <c r="AA171" s="39"/>
      <c r="AB171" s="175"/>
      <c r="AC171" s="235"/>
      <c r="AD171" s="235"/>
    </row>
    <row r="172" spans="1:255" s="42" customFormat="1" ht="28.9" customHeight="1">
      <c r="A172" s="229"/>
      <c r="B172" s="231"/>
      <c r="C172" s="267"/>
      <c r="D172" s="267"/>
      <c r="E172" s="268"/>
      <c r="F172" s="268"/>
      <c r="G172" s="279"/>
      <c r="H172" s="232"/>
      <c r="I172" s="308"/>
      <c r="J172" s="232"/>
      <c r="K172" s="33"/>
      <c r="L172" s="233"/>
      <c r="M172" s="234"/>
      <c r="N172" s="234"/>
      <c r="O172" s="234"/>
      <c r="P172" s="234"/>
      <c r="Q172" s="234"/>
      <c r="R172" s="234"/>
      <c r="S172" s="234"/>
      <c r="T172" s="49" t="s">
        <v>403</v>
      </c>
      <c r="U172" s="35"/>
      <c r="V172" s="35"/>
      <c r="W172" s="35" t="s">
        <v>395</v>
      </c>
      <c r="X172" s="40">
        <v>1</v>
      </c>
      <c r="Y172" s="175"/>
      <c r="Z172" s="33"/>
      <c r="AA172" s="39"/>
      <c r="AB172" s="175"/>
      <c r="AC172" s="235"/>
      <c r="AD172" s="235"/>
    </row>
    <row r="173" spans="1:255" s="42" customFormat="1" ht="36.75" customHeight="1">
      <c r="A173" s="33">
        <v>11</v>
      </c>
      <c r="B173" s="172" t="s">
        <v>596</v>
      </c>
      <c r="C173" s="267">
        <v>62</v>
      </c>
      <c r="D173" s="267">
        <v>485</v>
      </c>
      <c r="E173" s="268">
        <v>648.29999999999995</v>
      </c>
      <c r="F173" s="268" t="s">
        <v>26</v>
      </c>
      <c r="G173" s="167">
        <v>324</v>
      </c>
      <c r="H173" s="232">
        <f>E173-G173-G174</f>
        <v>0.29999999999995453</v>
      </c>
      <c r="I173" s="310">
        <v>324</v>
      </c>
      <c r="J173" s="170">
        <v>324</v>
      </c>
      <c r="K173" s="33"/>
      <c r="L173" s="174">
        <f>I173/J173*100</f>
        <v>100</v>
      </c>
      <c r="M173" s="175">
        <f>IF(L173&lt;10,2,IF(L173&lt;20,3,IF(L173&lt;30,5,IF(L173&gt;=70,12,IF(L173&gt;=30,6)))))</f>
        <v>12</v>
      </c>
      <c r="N173" s="175">
        <v>2</v>
      </c>
      <c r="O173" s="175">
        <v>80000</v>
      </c>
      <c r="P173" s="175">
        <f>I173*O173</f>
        <v>25920000</v>
      </c>
      <c r="Q173" s="175">
        <f>P173*3</f>
        <v>77760000</v>
      </c>
      <c r="R173" s="175">
        <f>M173*N173*R7</f>
        <v>12240000</v>
      </c>
      <c r="S173" s="175">
        <f>R173+Q173+P173</f>
        <v>115920000</v>
      </c>
      <c r="T173" s="59" t="s">
        <v>406</v>
      </c>
      <c r="U173" s="44"/>
      <c r="V173" s="171"/>
      <c r="W173" s="44" t="s">
        <v>0</v>
      </c>
      <c r="X173" s="45">
        <v>324</v>
      </c>
      <c r="Y173" s="45">
        <v>180000</v>
      </c>
      <c r="Z173" s="33"/>
      <c r="AA173" s="39">
        <v>1</v>
      </c>
      <c r="AB173" s="40">
        <f t="shared" ref="AB173:AB179" si="7">X173*Y173*AA173</f>
        <v>58320000</v>
      </c>
      <c r="AC173" s="176">
        <f>AB173</f>
        <v>58320000</v>
      </c>
      <c r="AD173" s="176">
        <f>AC173+S173</f>
        <v>174240000</v>
      </c>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row>
    <row r="174" spans="1:255" s="42" customFormat="1" ht="35.25" customHeight="1">
      <c r="A174" s="33">
        <v>12</v>
      </c>
      <c r="B174" s="173" t="s">
        <v>658</v>
      </c>
      <c r="C174" s="267"/>
      <c r="D174" s="267"/>
      <c r="E174" s="268"/>
      <c r="F174" s="268"/>
      <c r="G174" s="167">
        <v>324</v>
      </c>
      <c r="H174" s="232"/>
      <c r="I174" s="310">
        <v>324</v>
      </c>
      <c r="J174" s="170">
        <v>324</v>
      </c>
      <c r="K174" s="33"/>
      <c r="L174" s="174">
        <f>I174/J174*100</f>
        <v>100</v>
      </c>
      <c r="M174" s="175">
        <f>IF(L174&lt;10,2,IF(L174&lt;20,3,IF(L174&lt;30,5,IF(L174&gt;=70,12,IF(L174&gt;=30,6)))))</f>
        <v>12</v>
      </c>
      <c r="N174" s="175">
        <v>2</v>
      </c>
      <c r="O174" s="175">
        <v>80000</v>
      </c>
      <c r="P174" s="175">
        <f>I174*O174</f>
        <v>25920000</v>
      </c>
      <c r="Q174" s="175">
        <f>P174*3</f>
        <v>77760000</v>
      </c>
      <c r="R174" s="175">
        <f>M174*N174*R7</f>
        <v>12240000</v>
      </c>
      <c r="S174" s="175">
        <f>R174+Q174+P174</f>
        <v>115920000</v>
      </c>
      <c r="T174" s="59" t="s">
        <v>406</v>
      </c>
      <c r="U174" s="44"/>
      <c r="V174" s="171"/>
      <c r="W174" s="44" t="s">
        <v>0</v>
      </c>
      <c r="X174" s="45">
        <v>324</v>
      </c>
      <c r="Y174" s="45">
        <v>180000</v>
      </c>
      <c r="Z174" s="33"/>
      <c r="AA174" s="39">
        <v>1</v>
      </c>
      <c r="AB174" s="40">
        <f t="shared" si="7"/>
        <v>58320000</v>
      </c>
      <c r="AC174" s="176">
        <f>AB174</f>
        <v>58320000</v>
      </c>
      <c r="AD174" s="176">
        <f>AC174+S174</f>
        <v>174240000</v>
      </c>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row>
    <row r="175" spans="1:255" s="42" customFormat="1" ht="38.25" customHeight="1">
      <c r="A175" s="33">
        <v>13</v>
      </c>
      <c r="B175" s="172" t="s">
        <v>597</v>
      </c>
      <c r="C175" s="166">
        <v>62</v>
      </c>
      <c r="D175" s="166">
        <v>481</v>
      </c>
      <c r="E175" s="167">
        <v>323.89999999999998</v>
      </c>
      <c r="F175" s="167" t="s">
        <v>26</v>
      </c>
      <c r="G175" s="170">
        <v>324</v>
      </c>
      <c r="H175" s="170">
        <f>E175-G175</f>
        <v>-0.10000000000002274</v>
      </c>
      <c r="I175" s="311">
        <v>324</v>
      </c>
      <c r="J175" s="170">
        <v>324</v>
      </c>
      <c r="K175" s="33"/>
      <c r="L175" s="174">
        <f>I175/J175*100</f>
        <v>100</v>
      </c>
      <c r="M175" s="175">
        <f>IF(L175&lt;10,2,IF(L175&lt;20,3,IF(L175&lt;30,5,IF(L175&gt;=70,12,IF(L175&gt;=30,6)))))</f>
        <v>12</v>
      </c>
      <c r="N175" s="175">
        <v>4</v>
      </c>
      <c r="O175" s="175">
        <v>80000</v>
      </c>
      <c r="P175" s="175">
        <f>I175*O175</f>
        <v>25920000</v>
      </c>
      <c r="Q175" s="175">
        <f>P175*3</f>
        <v>77760000</v>
      </c>
      <c r="R175" s="175">
        <f>M175*N175*R7</f>
        <v>24480000</v>
      </c>
      <c r="S175" s="175">
        <f>R175+Q175+P175</f>
        <v>128160000</v>
      </c>
      <c r="T175" s="59" t="s">
        <v>406</v>
      </c>
      <c r="U175" s="44"/>
      <c r="V175" s="35"/>
      <c r="W175" s="44" t="s">
        <v>0</v>
      </c>
      <c r="X175" s="53">
        <f>G175</f>
        <v>324</v>
      </c>
      <c r="Y175" s="45">
        <v>180000</v>
      </c>
      <c r="Z175" s="33"/>
      <c r="AA175" s="39">
        <v>1</v>
      </c>
      <c r="AB175" s="40">
        <f t="shared" si="7"/>
        <v>58320000</v>
      </c>
      <c r="AC175" s="176">
        <f>AB175</f>
        <v>58320000</v>
      </c>
      <c r="AD175" s="176">
        <f>AC175+S175</f>
        <v>186480000</v>
      </c>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row>
    <row r="176" spans="1:255" s="42" customFormat="1" ht="39" customHeight="1">
      <c r="A176" s="229">
        <v>14</v>
      </c>
      <c r="B176" s="230" t="s">
        <v>598</v>
      </c>
      <c r="C176" s="267">
        <v>62</v>
      </c>
      <c r="D176" s="267">
        <v>482</v>
      </c>
      <c r="E176" s="268">
        <v>324.10000000000002</v>
      </c>
      <c r="F176" s="268" t="s">
        <v>26</v>
      </c>
      <c r="G176" s="268">
        <v>324</v>
      </c>
      <c r="H176" s="232">
        <f>E176-G176</f>
        <v>0.10000000000002274</v>
      </c>
      <c r="I176" s="312">
        <v>324</v>
      </c>
      <c r="J176" s="268">
        <v>324</v>
      </c>
      <c r="K176" s="33"/>
      <c r="L176" s="233">
        <f>I176/J176*100</f>
        <v>100</v>
      </c>
      <c r="M176" s="234">
        <f>IF(L176&lt;10,2,IF(L176&lt;20,3,IF(L176&lt;30,5,IF(L176&gt;=70,12,IF(L176&gt;=30,6)))))</f>
        <v>12</v>
      </c>
      <c r="N176" s="234">
        <v>0</v>
      </c>
      <c r="O176" s="234">
        <v>80000</v>
      </c>
      <c r="P176" s="234">
        <f>I176*O176</f>
        <v>25920000</v>
      </c>
      <c r="Q176" s="234">
        <f>P176*3</f>
        <v>77760000</v>
      </c>
      <c r="R176" s="234">
        <f>M176*N176*R7</f>
        <v>0</v>
      </c>
      <c r="S176" s="234">
        <f>R176+Q176+P176</f>
        <v>103680000</v>
      </c>
      <c r="T176" s="59" t="s">
        <v>693</v>
      </c>
      <c r="U176" s="35">
        <v>25</v>
      </c>
      <c r="V176" s="170">
        <f>G176/U176</f>
        <v>12.96</v>
      </c>
      <c r="W176" s="171" t="str">
        <f>'[1]bang gia'!$C$46</f>
        <v>đồng/cây</v>
      </c>
      <c r="X176" s="175">
        <v>16</v>
      </c>
      <c r="Y176" s="45"/>
      <c r="Z176" s="33"/>
      <c r="AA176" s="39"/>
      <c r="AB176" s="40"/>
      <c r="AC176" s="235">
        <f>SUM(AB176:AB185)</f>
        <v>61290000</v>
      </c>
      <c r="AD176" s="235">
        <f>AC176+S176</f>
        <v>164970000</v>
      </c>
      <c r="AE176" s="280" t="s">
        <v>407</v>
      </c>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row>
    <row r="177" spans="1:255" s="42" customFormat="1" ht="23.25" customHeight="1">
      <c r="A177" s="229"/>
      <c r="B177" s="231"/>
      <c r="C177" s="267"/>
      <c r="D177" s="267"/>
      <c r="E177" s="268"/>
      <c r="F177" s="268"/>
      <c r="G177" s="268"/>
      <c r="H177" s="232"/>
      <c r="I177" s="312"/>
      <c r="J177" s="268"/>
      <c r="K177" s="33"/>
      <c r="L177" s="233"/>
      <c r="M177" s="234"/>
      <c r="N177" s="234"/>
      <c r="O177" s="234"/>
      <c r="P177" s="234"/>
      <c r="Q177" s="234"/>
      <c r="R177" s="234"/>
      <c r="S177" s="234"/>
      <c r="T177" s="57" t="s">
        <v>399</v>
      </c>
      <c r="U177" s="44"/>
      <c r="V177" s="171"/>
      <c r="W177" s="171" t="str">
        <f>'[1]bang gia'!$C$46</f>
        <v>đồng/cây</v>
      </c>
      <c r="X177" s="175">
        <v>13</v>
      </c>
      <c r="Y177" s="45">
        <v>4500000</v>
      </c>
      <c r="Z177" s="33"/>
      <c r="AA177" s="51">
        <v>1</v>
      </c>
      <c r="AB177" s="40">
        <f t="shared" si="7"/>
        <v>58500000</v>
      </c>
      <c r="AC177" s="235"/>
      <c r="AD177" s="235"/>
      <c r="AE177" s="280"/>
    </row>
    <row r="178" spans="1:255" s="42" customFormat="1" ht="23.25" customHeight="1">
      <c r="A178" s="229"/>
      <c r="B178" s="231"/>
      <c r="C178" s="267"/>
      <c r="D178" s="267"/>
      <c r="E178" s="268"/>
      <c r="F178" s="268"/>
      <c r="G178" s="268"/>
      <c r="H178" s="232"/>
      <c r="I178" s="312"/>
      <c r="J178" s="268"/>
      <c r="K178" s="33"/>
      <c r="L178" s="233"/>
      <c r="M178" s="234"/>
      <c r="N178" s="234"/>
      <c r="O178" s="234"/>
      <c r="P178" s="234"/>
      <c r="Q178" s="234"/>
      <c r="R178" s="234"/>
      <c r="S178" s="234"/>
      <c r="T178" s="46" t="s">
        <v>401</v>
      </c>
      <c r="U178" s="44"/>
      <c r="V178" s="171">
        <f>3*0.3</f>
        <v>0.89999999999999991</v>
      </c>
      <c r="W178" s="171" t="str">
        <f>'[1]bang gia'!$C$46</f>
        <v>đồng/cây</v>
      </c>
      <c r="X178" s="175">
        <v>1</v>
      </c>
      <c r="Y178" s="45">
        <v>4500000</v>
      </c>
      <c r="Z178" s="33"/>
      <c r="AA178" s="39">
        <v>0.3</v>
      </c>
      <c r="AB178" s="40">
        <f t="shared" si="7"/>
        <v>1350000</v>
      </c>
      <c r="AC178" s="235"/>
      <c r="AD178" s="235"/>
      <c r="AE178" s="280"/>
    </row>
    <row r="179" spans="1:255" s="42" customFormat="1" ht="23.25" customHeight="1">
      <c r="A179" s="229"/>
      <c r="B179" s="231"/>
      <c r="C179" s="267"/>
      <c r="D179" s="267"/>
      <c r="E179" s="268"/>
      <c r="F179" s="268"/>
      <c r="G179" s="268"/>
      <c r="H179" s="232"/>
      <c r="I179" s="312"/>
      <c r="J179" s="268"/>
      <c r="K179" s="33"/>
      <c r="L179" s="233"/>
      <c r="M179" s="234"/>
      <c r="N179" s="234"/>
      <c r="O179" s="234"/>
      <c r="P179" s="234"/>
      <c r="Q179" s="234"/>
      <c r="R179" s="234"/>
      <c r="S179" s="234"/>
      <c r="T179" s="46" t="s">
        <v>402</v>
      </c>
      <c r="U179" s="44"/>
      <c r="V179" s="171"/>
      <c r="W179" s="171" t="str">
        <f>'[1]bang gia'!$C$46</f>
        <v>đồng/cây</v>
      </c>
      <c r="X179" s="175">
        <f>X176-X177-X178</f>
        <v>2</v>
      </c>
      <c r="Y179" s="45">
        <v>4500000</v>
      </c>
      <c r="Z179" s="33"/>
      <c r="AA179" s="51">
        <v>0</v>
      </c>
      <c r="AB179" s="40">
        <f t="shared" si="7"/>
        <v>0</v>
      </c>
      <c r="AC179" s="235"/>
      <c r="AD179" s="235"/>
      <c r="AE179" s="280"/>
    </row>
    <row r="180" spans="1:255" s="42" customFormat="1" ht="36.75" customHeight="1">
      <c r="A180" s="229"/>
      <c r="B180" s="231"/>
      <c r="C180" s="267"/>
      <c r="D180" s="267"/>
      <c r="E180" s="268"/>
      <c r="F180" s="268"/>
      <c r="G180" s="268"/>
      <c r="H180" s="232"/>
      <c r="I180" s="312"/>
      <c r="J180" s="268"/>
      <c r="K180" s="33"/>
      <c r="L180" s="233"/>
      <c r="M180" s="234"/>
      <c r="N180" s="234"/>
      <c r="O180" s="234"/>
      <c r="P180" s="234"/>
      <c r="Q180" s="234"/>
      <c r="R180" s="234"/>
      <c r="S180" s="234"/>
      <c r="T180" s="59" t="s">
        <v>429</v>
      </c>
      <c r="U180" s="44">
        <v>4</v>
      </c>
      <c r="V180" s="170">
        <f>G176/U180*0.3</f>
        <v>24.3</v>
      </c>
      <c r="W180" s="44" t="s">
        <v>392</v>
      </c>
      <c r="X180" s="175">
        <v>80</v>
      </c>
      <c r="Y180" s="175"/>
      <c r="Z180" s="33"/>
      <c r="AA180" s="39"/>
      <c r="AB180" s="40"/>
      <c r="AC180" s="235"/>
      <c r="AD180" s="235"/>
      <c r="AE180" s="280"/>
    </row>
    <row r="181" spans="1:255" s="42" customFormat="1" ht="23.25" customHeight="1">
      <c r="A181" s="229"/>
      <c r="B181" s="231"/>
      <c r="C181" s="267"/>
      <c r="D181" s="267"/>
      <c r="E181" s="268"/>
      <c r="F181" s="268"/>
      <c r="G181" s="268"/>
      <c r="H181" s="232"/>
      <c r="I181" s="312"/>
      <c r="J181" s="268"/>
      <c r="K181" s="33"/>
      <c r="L181" s="233"/>
      <c r="M181" s="234"/>
      <c r="N181" s="234"/>
      <c r="O181" s="234"/>
      <c r="P181" s="234"/>
      <c r="Q181" s="234"/>
      <c r="R181" s="234"/>
      <c r="S181" s="234"/>
      <c r="T181" s="57" t="s">
        <v>399</v>
      </c>
      <c r="U181" s="44"/>
      <c r="V181" s="171"/>
      <c r="W181" s="44" t="s">
        <v>392</v>
      </c>
      <c r="X181" s="175">
        <v>24</v>
      </c>
      <c r="Y181" s="175">
        <v>200000</v>
      </c>
      <c r="Z181" s="33"/>
      <c r="AA181" s="39">
        <v>0.3</v>
      </c>
      <c r="AB181" s="40">
        <f>X181*Y181*AA181</f>
        <v>1440000</v>
      </c>
      <c r="AC181" s="235"/>
      <c r="AD181" s="235"/>
      <c r="AE181" s="280"/>
    </row>
    <row r="182" spans="1:255" s="42" customFormat="1" ht="23.25" customHeight="1">
      <c r="A182" s="229"/>
      <c r="B182" s="231"/>
      <c r="C182" s="267"/>
      <c r="D182" s="267"/>
      <c r="E182" s="268"/>
      <c r="F182" s="268"/>
      <c r="G182" s="268"/>
      <c r="H182" s="232"/>
      <c r="I182" s="312"/>
      <c r="J182" s="268"/>
      <c r="K182" s="33"/>
      <c r="L182" s="233"/>
      <c r="M182" s="234"/>
      <c r="N182" s="234"/>
      <c r="O182" s="234"/>
      <c r="P182" s="234"/>
      <c r="Q182" s="234"/>
      <c r="R182" s="234"/>
      <c r="S182" s="234"/>
      <c r="T182" s="57" t="s">
        <v>417</v>
      </c>
      <c r="U182" s="44"/>
      <c r="V182" s="171"/>
      <c r="W182" s="44" t="s">
        <v>392</v>
      </c>
      <c r="X182" s="175">
        <f>X180-X181</f>
        <v>56</v>
      </c>
      <c r="Y182" s="175">
        <v>200000</v>
      </c>
      <c r="Z182" s="33"/>
      <c r="AA182" s="51">
        <v>0</v>
      </c>
      <c r="AB182" s="40">
        <f>X182*Y182*AA182</f>
        <v>0</v>
      </c>
      <c r="AC182" s="235"/>
      <c r="AD182" s="235"/>
      <c r="AE182" s="159"/>
    </row>
    <row r="183" spans="1:255" s="42" customFormat="1" ht="34.9" customHeight="1">
      <c r="A183" s="229"/>
      <c r="B183" s="231"/>
      <c r="C183" s="267"/>
      <c r="D183" s="267"/>
      <c r="E183" s="268"/>
      <c r="F183" s="268"/>
      <c r="G183" s="268"/>
      <c r="H183" s="232"/>
      <c r="I183" s="312"/>
      <c r="J183" s="268"/>
      <c r="K183" s="33"/>
      <c r="L183" s="233"/>
      <c r="M183" s="234"/>
      <c r="N183" s="234"/>
      <c r="O183" s="234"/>
      <c r="P183" s="234"/>
      <c r="Q183" s="234"/>
      <c r="R183" s="234"/>
      <c r="S183" s="234"/>
      <c r="T183" s="59" t="s">
        <v>430</v>
      </c>
      <c r="U183" s="44"/>
      <c r="V183" s="171"/>
      <c r="W183" s="44" t="s">
        <v>392</v>
      </c>
      <c r="X183" s="175">
        <v>60</v>
      </c>
      <c r="Y183" s="175"/>
      <c r="Z183" s="33"/>
      <c r="AA183" s="39"/>
      <c r="AB183" s="175"/>
      <c r="AC183" s="235"/>
      <c r="AD183" s="235"/>
    </row>
    <row r="184" spans="1:255" s="42" customFormat="1" ht="23.25" customHeight="1">
      <c r="A184" s="229"/>
      <c r="B184" s="231"/>
      <c r="C184" s="267"/>
      <c r="D184" s="267"/>
      <c r="E184" s="268"/>
      <c r="F184" s="268"/>
      <c r="G184" s="268"/>
      <c r="H184" s="232"/>
      <c r="I184" s="312"/>
      <c r="J184" s="268"/>
      <c r="K184" s="33"/>
      <c r="L184" s="233"/>
      <c r="M184" s="234"/>
      <c r="N184" s="234"/>
      <c r="O184" s="234"/>
      <c r="P184" s="234"/>
      <c r="Q184" s="234"/>
      <c r="R184" s="234"/>
      <c r="S184" s="234"/>
      <c r="T184" s="57" t="s">
        <v>417</v>
      </c>
      <c r="U184" s="44"/>
      <c r="V184" s="171"/>
      <c r="W184" s="44" t="s">
        <v>392</v>
      </c>
      <c r="X184" s="175">
        <v>60</v>
      </c>
      <c r="Y184" s="175">
        <v>150000</v>
      </c>
      <c r="Z184" s="33"/>
      <c r="AA184" s="39">
        <v>0</v>
      </c>
      <c r="AB184" s="175">
        <v>0</v>
      </c>
      <c r="AC184" s="235"/>
      <c r="AD184" s="235"/>
    </row>
    <row r="185" spans="1:255" s="42" customFormat="1" ht="23.25" customHeight="1">
      <c r="A185" s="229"/>
      <c r="B185" s="231"/>
      <c r="C185" s="267"/>
      <c r="D185" s="267"/>
      <c r="E185" s="268"/>
      <c r="F185" s="268"/>
      <c r="G185" s="268"/>
      <c r="H185" s="232"/>
      <c r="I185" s="312"/>
      <c r="J185" s="268"/>
      <c r="K185" s="33"/>
      <c r="L185" s="233"/>
      <c r="M185" s="234"/>
      <c r="N185" s="234"/>
      <c r="O185" s="234"/>
      <c r="P185" s="234"/>
      <c r="Q185" s="234"/>
      <c r="R185" s="234"/>
      <c r="S185" s="234"/>
      <c r="T185" s="49" t="s">
        <v>413</v>
      </c>
      <c r="U185" s="35"/>
      <c r="V185" s="35"/>
      <c r="W185" s="35" t="s">
        <v>395</v>
      </c>
      <c r="X185" s="40">
        <v>1</v>
      </c>
      <c r="Y185" s="175"/>
      <c r="Z185" s="33"/>
      <c r="AA185" s="39">
        <v>0</v>
      </c>
      <c r="AB185" s="40">
        <f>X185*Y185*AA185</f>
        <v>0</v>
      </c>
      <c r="AC185" s="235"/>
      <c r="AD185" s="235"/>
    </row>
    <row r="186" spans="1:255" s="42" customFormat="1" ht="33" customHeight="1">
      <c r="A186" s="229">
        <v>15</v>
      </c>
      <c r="B186" s="278" t="s">
        <v>600</v>
      </c>
      <c r="C186" s="267">
        <v>62</v>
      </c>
      <c r="D186" s="267">
        <v>539</v>
      </c>
      <c r="E186" s="268">
        <v>323.89999999999998</v>
      </c>
      <c r="F186" s="268" t="s">
        <v>26</v>
      </c>
      <c r="G186" s="232">
        <v>324</v>
      </c>
      <c r="H186" s="232">
        <f>E186-G186</f>
        <v>-0.10000000000002274</v>
      </c>
      <c r="I186" s="307">
        <v>324</v>
      </c>
      <c r="J186" s="232">
        <v>324</v>
      </c>
      <c r="K186" s="33"/>
      <c r="L186" s="233">
        <f>I186/J186*100</f>
        <v>100</v>
      </c>
      <c r="M186" s="234">
        <f>IF(L186&lt;10,2,IF(L186&lt;20,3,IF(L186&lt;30,5,IF(L186&gt;=70,12,IF(L186&gt;=30,6)))))</f>
        <v>12</v>
      </c>
      <c r="N186" s="234">
        <v>4</v>
      </c>
      <c r="O186" s="234">
        <f>$O$7</f>
        <v>80000</v>
      </c>
      <c r="P186" s="234">
        <f>I186*O186</f>
        <v>25920000</v>
      </c>
      <c r="Q186" s="234">
        <f>$Q$7*I186</f>
        <v>77760000</v>
      </c>
      <c r="R186" s="234">
        <f>M186*N186*$R$7</f>
        <v>24480000</v>
      </c>
      <c r="S186" s="234">
        <f>R186+Q186+P186</f>
        <v>128160000</v>
      </c>
      <c r="T186" s="59" t="s">
        <v>693</v>
      </c>
      <c r="U186" s="35">
        <v>25</v>
      </c>
      <c r="V186" s="170">
        <f>G186/U186</f>
        <v>12.96</v>
      </c>
      <c r="W186" s="171" t="str">
        <f>'[1]bang gia'!$C$46</f>
        <v>đồng/cây</v>
      </c>
      <c r="X186" s="175">
        <v>12</v>
      </c>
      <c r="Y186" s="175"/>
      <c r="Z186" s="33"/>
      <c r="AA186" s="39"/>
      <c r="AB186" s="40"/>
      <c r="AC186" s="235">
        <f>SUM(AB186:AB192)</f>
        <v>61575000</v>
      </c>
      <c r="AD186" s="235">
        <f>AC186+S186</f>
        <v>189735000</v>
      </c>
      <c r="AE186" s="280" t="s">
        <v>404</v>
      </c>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1"/>
      <c r="EY186" s="41"/>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1"/>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1"/>
      <c r="HM186" s="41"/>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1"/>
      <c r="IP186" s="41"/>
      <c r="IQ186" s="41"/>
      <c r="IR186" s="41"/>
      <c r="IS186" s="41"/>
      <c r="IT186" s="41"/>
      <c r="IU186" s="41"/>
    </row>
    <row r="187" spans="1:255" s="42" customFormat="1" ht="21" customHeight="1">
      <c r="A187" s="229"/>
      <c r="B187" s="278"/>
      <c r="C187" s="267"/>
      <c r="D187" s="267"/>
      <c r="E187" s="268"/>
      <c r="F187" s="268"/>
      <c r="G187" s="232"/>
      <c r="H187" s="232"/>
      <c r="I187" s="307"/>
      <c r="J187" s="232"/>
      <c r="K187" s="33"/>
      <c r="L187" s="233"/>
      <c r="M187" s="234"/>
      <c r="N187" s="234"/>
      <c r="O187" s="234"/>
      <c r="P187" s="234"/>
      <c r="Q187" s="234"/>
      <c r="R187" s="234"/>
      <c r="S187" s="234"/>
      <c r="T187" s="57" t="s">
        <v>399</v>
      </c>
      <c r="U187" s="35"/>
      <c r="V187" s="171"/>
      <c r="W187" s="171" t="str">
        <f>'[1]bang gia'!$C$46</f>
        <v>đồng/cây</v>
      </c>
      <c r="X187" s="175">
        <v>12</v>
      </c>
      <c r="Y187" s="175">
        <v>4500000</v>
      </c>
      <c r="Z187" s="33"/>
      <c r="AA187" s="39">
        <v>1</v>
      </c>
      <c r="AB187" s="40">
        <f t="shared" ref="AB187:AB192" si="8">X187*Y187*AA187</f>
        <v>54000000</v>
      </c>
      <c r="AC187" s="235"/>
      <c r="AD187" s="235"/>
      <c r="AE187" s="280"/>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c r="DF187" s="41"/>
      <c r="DG187" s="41"/>
      <c r="DH187" s="41"/>
      <c r="DI187" s="41"/>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1"/>
      <c r="ET187" s="41"/>
      <c r="EU187" s="41"/>
      <c r="EV187" s="41"/>
      <c r="EW187" s="41"/>
      <c r="EX187" s="41"/>
      <c r="EY187" s="41"/>
      <c r="EZ187" s="41"/>
      <c r="FA187" s="41"/>
      <c r="FB187" s="41"/>
      <c r="FC187" s="41"/>
      <c r="FD187" s="41"/>
      <c r="FE187" s="41"/>
      <c r="FF187" s="41"/>
      <c r="FG187" s="41"/>
      <c r="FH187" s="41"/>
      <c r="FI187" s="41"/>
      <c r="FJ187" s="41"/>
      <c r="FK187" s="41"/>
      <c r="FL187" s="41"/>
      <c r="FM187" s="41"/>
      <c r="FN187" s="41"/>
      <c r="FO187" s="41"/>
      <c r="FP187" s="41"/>
      <c r="FQ187" s="41"/>
      <c r="FR187" s="41"/>
      <c r="FS187" s="41"/>
      <c r="FT187" s="41"/>
      <c r="FU187" s="41"/>
      <c r="FV187" s="41"/>
      <c r="FW187" s="41"/>
      <c r="FX187" s="41"/>
      <c r="FY187" s="41"/>
      <c r="FZ187" s="41"/>
      <c r="GA187" s="41"/>
      <c r="GB187" s="41"/>
      <c r="GC187" s="41"/>
      <c r="GD187" s="41"/>
      <c r="GE187" s="41"/>
      <c r="GF187" s="41"/>
      <c r="GG187" s="41"/>
      <c r="GH187" s="41"/>
      <c r="GI187" s="41"/>
      <c r="GJ187" s="41"/>
      <c r="GK187" s="41"/>
      <c r="GL187" s="41"/>
      <c r="GM187" s="41"/>
      <c r="GN187" s="41"/>
      <c r="GO187" s="41"/>
      <c r="GP187" s="41"/>
      <c r="GQ187" s="41"/>
      <c r="GR187" s="41"/>
      <c r="GS187" s="41"/>
      <c r="GT187" s="41"/>
      <c r="GU187" s="41"/>
      <c r="GV187" s="41"/>
      <c r="GW187" s="41"/>
      <c r="GX187" s="41"/>
      <c r="GY187" s="41"/>
      <c r="GZ187" s="41"/>
      <c r="HA187" s="41"/>
      <c r="HB187" s="41"/>
      <c r="HC187" s="41"/>
      <c r="HD187" s="41"/>
      <c r="HE187" s="41"/>
      <c r="HF187" s="41"/>
      <c r="HG187" s="41"/>
      <c r="HH187" s="41"/>
      <c r="HI187" s="41"/>
      <c r="HJ187" s="41"/>
      <c r="HK187" s="41"/>
      <c r="HL187" s="41"/>
      <c r="HM187" s="41"/>
      <c r="HN187" s="41"/>
      <c r="HO187" s="41"/>
      <c r="HP187" s="41"/>
      <c r="HQ187" s="41"/>
      <c r="HR187" s="41"/>
      <c r="HS187" s="41"/>
      <c r="HT187" s="41"/>
      <c r="HU187" s="41"/>
      <c r="HV187" s="41"/>
      <c r="HW187" s="41"/>
      <c r="HX187" s="41"/>
      <c r="HY187" s="41"/>
      <c r="HZ187" s="41"/>
      <c r="IA187" s="41"/>
      <c r="IB187" s="41"/>
      <c r="IC187" s="41"/>
      <c r="ID187" s="41"/>
      <c r="IE187" s="41"/>
      <c r="IF187" s="41"/>
      <c r="IG187" s="41"/>
      <c r="IH187" s="41"/>
      <c r="II187" s="41"/>
      <c r="IJ187" s="41"/>
      <c r="IK187" s="41"/>
      <c r="IL187" s="41"/>
      <c r="IM187" s="41"/>
      <c r="IN187" s="41"/>
      <c r="IO187" s="41"/>
      <c r="IP187" s="41"/>
      <c r="IQ187" s="41"/>
      <c r="IR187" s="41"/>
      <c r="IS187" s="41"/>
      <c r="IT187" s="41"/>
      <c r="IU187" s="41"/>
    </row>
    <row r="188" spans="1:255" s="42" customFormat="1" ht="39.75" customHeight="1">
      <c r="A188" s="229"/>
      <c r="B188" s="278"/>
      <c r="C188" s="267"/>
      <c r="D188" s="267"/>
      <c r="E188" s="268"/>
      <c r="F188" s="268"/>
      <c r="G188" s="232"/>
      <c r="H188" s="232"/>
      <c r="I188" s="307"/>
      <c r="J188" s="232"/>
      <c r="K188" s="33"/>
      <c r="L188" s="233"/>
      <c r="M188" s="234"/>
      <c r="N188" s="234"/>
      <c r="O188" s="234"/>
      <c r="P188" s="234"/>
      <c r="Q188" s="234"/>
      <c r="R188" s="234"/>
      <c r="S188" s="234"/>
      <c r="T188" s="59" t="s">
        <v>429</v>
      </c>
      <c r="U188" s="35">
        <v>4</v>
      </c>
      <c r="V188" s="170">
        <f>G186/U188</f>
        <v>81</v>
      </c>
      <c r="W188" s="163" t="s">
        <v>392</v>
      </c>
      <c r="X188" s="160">
        <v>60</v>
      </c>
      <c r="Y188" s="62"/>
      <c r="Z188" s="63"/>
      <c r="AA188" s="63"/>
      <c r="AB188" s="62"/>
      <c r="AC188" s="235"/>
      <c r="AD188" s="235"/>
      <c r="AE188" s="280"/>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c r="DA188" s="41"/>
      <c r="DB188" s="41"/>
      <c r="DC188" s="41"/>
      <c r="DD188" s="41"/>
      <c r="DE188" s="41"/>
      <c r="DF188" s="41"/>
      <c r="DG188" s="41"/>
      <c r="DH188" s="41"/>
      <c r="DI188" s="41"/>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1"/>
      <c r="ET188" s="41"/>
      <c r="EU188" s="41"/>
      <c r="EV188" s="41"/>
      <c r="EW188" s="41"/>
      <c r="EX188" s="41"/>
      <c r="EY188" s="41"/>
      <c r="EZ188" s="41"/>
      <c r="FA188" s="41"/>
      <c r="FB188" s="41"/>
      <c r="FC188" s="41"/>
      <c r="FD188" s="41"/>
      <c r="FE188" s="41"/>
      <c r="FF188" s="41"/>
      <c r="FG188" s="41"/>
      <c r="FH188" s="41"/>
      <c r="FI188" s="41"/>
      <c r="FJ188" s="41"/>
      <c r="FK188" s="41"/>
      <c r="FL188" s="41"/>
      <c r="FM188" s="41"/>
      <c r="FN188" s="41"/>
      <c r="FO188" s="41"/>
      <c r="FP188" s="41"/>
      <c r="FQ188" s="41"/>
      <c r="FR188" s="41"/>
      <c r="FS188" s="41"/>
      <c r="FT188" s="41"/>
      <c r="FU188" s="41"/>
      <c r="FV188" s="41"/>
      <c r="FW188" s="41"/>
      <c r="FX188" s="41"/>
      <c r="FY188" s="41"/>
      <c r="FZ188" s="41"/>
      <c r="GA188" s="41"/>
      <c r="GB188" s="41"/>
      <c r="GC188" s="41"/>
      <c r="GD188" s="41"/>
      <c r="GE188" s="41"/>
      <c r="GF188" s="41"/>
      <c r="GG188" s="41"/>
      <c r="GH188" s="41"/>
      <c r="GI188" s="41"/>
      <c r="GJ188" s="41"/>
      <c r="GK188" s="41"/>
      <c r="GL188" s="41"/>
      <c r="GM188" s="41"/>
      <c r="GN188" s="41"/>
      <c r="GO188" s="41"/>
      <c r="GP188" s="41"/>
      <c r="GQ188" s="41"/>
      <c r="GR188" s="41"/>
      <c r="GS188" s="41"/>
      <c r="GT188" s="41"/>
      <c r="GU188" s="41"/>
      <c r="GV188" s="41"/>
      <c r="GW188" s="41"/>
      <c r="GX188" s="41"/>
      <c r="GY188" s="41"/>
      <c r="GZ188" s="41"/>
      <c r="HA188" s="41"/>
      <c r="HB188" s="41"/>
      <c r="HC188" s="41"/>
      <c r="HD188" s="41"/>
      <c r="HE188" s="41"/>
      <c r="HF188" s="41"/>
      <c r="HG188" s="41"/>
      <c r="HH188" s="41"/>
      <c r="HI188" s="41"/>
      <c r="HJ188" s="41"/>
      <c r="HK188" s="41"/>
      <c r="HL188" s="41"/>
      <c r="HM188" s="41"/>
      <c r="HN188" s="41"/>
      <c r="HO188" s="41"/>
      <c r="HP188" s="41"/>
      <c r="HQ188" s="41"/>
      <c r="HR188" s="41"/>
      <c r="HS188" s="41"/>
      <c r="HT188" s="41"/>
      <c r="HU188" s="41"/>
      <c r="HV188" s="41"/>
      <c r="HW188" s="41"/>
      <c r="HX188" s="41"/>
      <c r="HY188" s="41"/>
      <c r="HZ188" s="41"/>
      <c r="IA188" s="41"/>
      <c r="IB188" s="41"/>
      <c r="IC188" s="41"/>
      <c r="ID188" s="41"/>
      <c r="IE188" s="41"/>
      <c r="IF188" s="41"/>
      <c r="IG188" s="41"/>
      <c r="IH188" s="41"/>
      <c r="II188" s="41"/>
      <c r="IJ188" s="41"/>
      <c r="IK188" s="41"/>
      <c r="IL188" s="41"/>
      <c r="IM188" s="41"/>
      <c r="IN188" s="41"/>
      <c r="IO188" s="41"/>
      <c r="IP188" s="41"/>
      <c r="IQ188" s="41"/>
      <c r="IR188" s="41"/>
      <c r="IS188" s="41"/>
      <c r="IT188" s="41"/>
      <c r="IU188" s="41"/>
    </row>
    <row r="189" spans="1:255" s="42" customFormat="1" ht="21.75" customHeight="1">
      <c r="A189" s="229"/>
      <c r="B189" s="278"/>
      <c r="C189" s="267"/>
      <c r="D189" s="267"/>
      <c r="E189" s="268"/>
      <c r="F189" s="268"/>
      <c r="G189" s="232"/>
      <c r="H189" s="232"/>
      <c r="I189" s="307"/>
      <c r="J189" s="232"/>
      <c r="K189" s="33"/>
      <c r="L189" s="233"/>
      <c r="M189" s="234"/>
      <c r="N189" s="234"/>
      <c r="O189" s="234"/>
      <c r="P189" s="234"/>
      <c r="Q189" s="234"/>
      <c r="R189" s="234"/>
      <c r="S189" s="234"/>
      <c r="T189" s="57" t="s">
        <v>399</v>
      </c>
      <c r="U189" s="35"/>
      <c r="V189" s="171"/>
      <c r="W189" s="163" t="s">
        <v>392</v>
      </c>
      <c r="X189" s="179">
        <v>60</v>
      </c>
      <c r="Y189" s="45">
        <v>200000</v>
      </c>
      <c r="Z189" s="45"/>
      <c r="AA189" s="65">
        <v>0.5</v>
      </c>
      <c r="AB189" s="161">
        <f t="shared" si="8"/>
        <v>6000000</v>
      </c>
      <c r="AC189" s="235"/>
      <c r="AD189" s="235"/>
      <c r="AE189" s="280"/>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c r="DA189" s="41"/>
      <c r="DB189" s="41"/>
      <c r="DC189" s="41"/>
      <c r="DD189" s="41"/>
      <c r="DE189" s="41"/>
      <c r="DF189" s="41"/>
      <c r="DG189" s="41"/>
      <c r="DH189" s="41"/>
      <c r="DI189" s="41"/>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1"/>
      <c r="ET189" s="41"/>
      <c r="EU189" s="41"/>
      <c r="EV189" s="41"/>
      <c r="EW189" s="41"/>
      <c r="EX189" s="41"/>
      <c r="EY189" s="41"/>
      <c r="EZ189" s="41"/>
      <c r="FA189" s="41"/>
      <c r="FB189" s="41"/>
      <c r="FC189" s="41"/>
      <c r="FD189" s="41"/>
      <c r="FE189" s="41"/>
      <c r="FF189" s="41"/>
      <c r="FG189" s="41"/>
      <c r="FH189" s="41"/>
      <c r="FI189" s="41"/>
      <c r="FJ189" s="41"/>
      <c r="FK189" s="41"/>
      <c r="FL189" s="41"/>
      <c r="FM189" s="41"/>
      <c r="FN189" s="41"/>
      <c r="FO189" s="41"/>
      <c r="FP189" s="41"/>
      <c r="FQ189" s="41"/>
      <c r="FR189" s="41"/>
      <c r="FS189" s="41"/>
      <c r="FT189" s="41"/>
      <c r="FU189" s="41"/>
      <c r="FV189" s="41"/>
      <c r="FW189" s="41"/>
      <c r="FX189" s="41"/>
      <c r="FY189" s="41"/>
      <c r="FZ189" s="41"/>
      <c r="GA189" s="41"/>
      <c r="GB189" s="41"/>
      <c r="GC189" s="41"/>
      <c r="GD189" s="41"/>
      <c r="GE189" s="41"/>
      <c r="GF189" s="41"/>
      <c r="GG189" s="41"/>
      <c r="GH189" s="41"/>
      <c r="GI189" s="41"/>
      <c r="GJ189" s="41"/>
      <c r="GK189" s="41"/>
      <c r="GL189" s="41"/>
      <c r="GM189" s="41"/>
      <c r="GN189" s="41"/>
      <c r="GO189" s="41"/>
      <c r="GP189" s="41"/>
      <c r="GQ189" s="41"/>
      <c r="GR189" s="41"/>
      <c r="GS189" s="41"/>
      <c r="GT189" s="41"/>
      <c r="GU189" s="41"/>
      <c r="GV189" s="41"/>
      <c r="GW189" s="41"/>
      <c r="GX189" s="41"/>
      <c r="GY189" s="41"/>
      <c r="GZ189" s="41"/>
      <c r="HA189" s="41"/>
      <c r="HB189" s="41"/>
      <c r="HC189" s="41"/>
      <c r="HD189" s="41"/>
      <c r="HE189" s="41"/>
      <c r="HF189" s="41"/>
      <c r="HG189" s="41"/>
      <c r="HH189" s="41"/>
      <c r="HI189" s="41"/>
      <c r="HJ189" s="41"/>
      <c r="HK189" s="41"/>
      <c r="HL189" s="41"/>
      <c r="HM189" s="41"/>
      <c r="HN189" s="41"/>
      <c r="HO189" s="41"/>
      <c r="HP189" s="41"/>
      <c r="HQ189" s="41"/>
      <c r="HR189" s="41"/>
      <c r="HS189" s="41"/>
      <c r="HT189" s="41"/>
      <c r="HU189" s="41"/>
      <c r="HV189" s="41"/>
      <c r="HW189" s="41"/>
      <c r="HX189" s="41"/>
      <c r="HY189" s="41"/>
      <c r="HZ189" s="41"/>
      <c r="IA189" s="41"/>
      <c r="IB189" s="41"/>
      <c r="IC189" s="41"/>
      <c r="ID189" s="41"/>
      <c r="IE189" s="41"/>
      <c r="IF189" s="41"/>
      <c r="IG189" s="41"/>
      <c r="IH189" s="41"/>
      <c r="II189" s="41"/>
      <c r="IJ189" s="41"/>
      <c r="IK189" s="41"/>
      <c r="IL189" s="41"/>
      <c r="IM189" s="41"/>
      <c r="IN189" s="41"/>
      <c r="IO189" s="41"/>
      <c r="IP189" s="41"/>
      <c r="IQ189" s="41"/>
      <c r="IR189" s="41"/>
      <c r="IS189" s="41"/>
      <c r="IT189" s="41"/>
      <c r="IU189" s="41"/>
    </row>
    <row r="190" spans="1:255" s="42" customFormat="1" ht="34.5" customHeight="1">
      <c r="A190" s="229"/>
      <c r="B190" s="278"/>
      <c r="C190" s="267"/>
      <c r="D190" s="267"/>
      <c r="E190" s="268"/>
      <c r="F190" s="268"/>
      <c r="G190" s="232"/>
      <c r="H190" s="232"/>
      <c r="I190" s="307"/>
      <c r="J190" s="232"/>
      <c r="K190" s="33"/>
      <c r="L190" s="233"/>
      <c r="M190" s="234"/>
      <c r="N190" s="234"/>
      <c r="O190" s="234"/>
      <c r="P190" s="234"/>
      <c r="Q190" s="234"/>
      <c r="R190" s="234"/>
      <c r="S190" s="234"/>
      <c r="T190" s="59" t="s">
        <v>717</v>
      </c>
      <c r="U190" s="35"/>
      <c r="V190" s="171"/>
      <c r="W190" s="163" t="s">
        <v>392</v>
      </c>
      <c r="X190" s="179">
        <v>50</v>
      </c>
      <c r="Y190" s="45"/>
      <c r="Z190" s="45"/>
      <c r="AA190" s="65"/>
      <c r="AB190" s="161"/>
      <c r="AC190" s="235"/>
      <c r="AD190" s="235"/>
      <c r="AE190" s="280"/>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c r="DA190" s="41"/>
      <c r="DB190" s="41"/>
      <c r="DC190" s="41"/>
      <c r="DD190" s="41"/>
      <c r="DE190" s="41"/>
      <c r="DF190" s="41"/>
      <c r="DG190" s="41"/>
      <c r="DH190" s="41"/>
      <c r="DI190" s="41"/>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1"/>
      <c r="ET190" s="41"/>
      <c r="EU190" s="41"/>
      <c r="EV190" s="41"/>
      <c r="EW190" s="41"/>
      <c r="EX190" s="41"/>
      <c r="EY190" s="41"/>
      <c r="EZ190" s="41"/>
      <c r="FA190" s="41"/>
      <c r="FB190" s="41"/>
      <c r="FC190" s="41"/>
      <c r="FD190" s="41"/>
      <c r="FE190" s="41"/>
      <c r="FF190" s="41"/>
      <c r="FG190" s="41"/>
      <c r="FH190" s="41"/>
      <c r="FI190" s="41"/>
      <c r="FJ190" s="41"/>
      <c r="FK190" s="41"/>
      <c r="FL190" s="41"/>
      <c r="FM190" s="41"/>
      <c r="FN190" s="41"/>
      <c r="FO190" s="41"/>
      <c r="FP190" s="41"/>
      <c r="FQ190" s="41"/>
      <c r="FR190" s="41"/>
      <c r="FS190" s="41"/>
      <c r="FT190" s="41"/>
      <c r="FU190" s="41"/>
      <c r="FV190" s="41"/>
      <c r="FW190" s="41"/>
      <c r="FX190" s="41"/>
      <c r="FY190" s="41"/>
      <c r="FZ190" s="41"/>
      <c r="GA190" s="41"/>
      <c r="GB190" s="41"/>
      <c r="GC190" s="41"/>
      <c r="GD190" s="41"/>
      <c r="GE190" s="41"/>
      <c r="GF190" s="41"/>
      <c r="GG190" s="41"/>
      <c r="GH190" s="41"/>
      <c r="GI190" s="41"/>
      <c r="GJ190" s="41"/>
      <c r="GK190" s="41"/>
      <c r="GL190" s="41"/>
      <c r="GM190" s="41"/>
      <c r="GN190" s="41"/>
      <c r="GO190" s="41"/>
      <c r="GP190" s="41"/>
      <c r="GQ190" s="41"/>
      <c r="GR190" s="41"/>
      <c r="GS190" s="41"/>
      <c r="GT190" s="41"/>
      <c r="GU190" s="41"/>
      <c r="GV190" s="41"/>
      <c r="GW190" s="41"/>
      <c r="GX190" s="41"/>
      <c r="GY190" s="41"/>
      <c r="GZ190" s="41"/>
      <c r="HA190" s="41"/>
      <c r="HB190" s="41"/>
      <c r="HC190" s="41"/>
      <c r="HD190" s="41"/>
      <c r="HE190" s="41"/>
      <c r="HF190" s="41"/>
      <c r="HG190" s="41"/>
      <c r="HH190" s="41"/>
      <c r="HI190" s="41"/>
      <c r="HJ190" s="41"/>
      <c r="HK190" s="41"/>
      <c r="HL190" s="41"/>
      <c r="HM190" s="41"/>
      <c r="HN190" s="41"/>
      <c r="HO190" s="41"/>
      <c r="HP190" s="41"/>
      <c r="HQ190" s="41"/>
      <c r="HR190" s="41"/>
      <c r="HS190" s="41"/>
      <c r="HT190" s="41"/>
      <c r="HU190" s="41"/>
      <c r="HV190" s="41"/>
      <c r="HW190" s="41"/>
      <c r="HX190" s="41"/>
      <c r="HY190" s="41"/>
      <c r="HZ190" s="41"/>
      <c r="IA190" s="41"/>
      <c r="IB190" s="41"/>
      <c r="IC190" s="41"/>
      <c r="ID190" s="41"/>
      <c r="IE190" s="41"/>
      <c r="IF190" s="41"/>
      <c r="IG190" s="41"/>
      <c r="IH190" s="41"/>
      <c r="II190" s="41"/>
      <c r="IJ190" s="41"/>
      <c r="IK190" s="41"/>
      <c r="IL190" s="41"/>
      <c r="IM190" s="41"/>
      <c r="IN190" s="41"/>
      <c r="IO190" s="41"/>
      <c r="IP190" s="41"/>
      <c r="IQ190" s="41"/>
      <c r="IR190" s="41"/>
      <c r="IS190" s="41"/>
      <c r="IT190" s="41"/>
      <c r="IU190" s="41"/>
    </row>
    <row r="191" spans="1:255" s="42" customFormat="1" ht="23.25" customHeight="1">
      <c r="A191" s="229"/>
      <c r="B191" s="278"/>
      <c r="C191" s="267"/>
      <c r="D191" s="267"/>
      <c r="E191" s="268"/>
      <c r="F191" s="268"/>
      <c r="G191" s="232"/>
      <c r="H191" s="232"/>
      <c r="I191" s="307"/>
      <c r="J191" s="232"/>
      <c r="K191" s="33"/>
      <c r="L191" s="233"/>
      <c r="M191" s="234"/>
      <c r="N191" s="234"/>
      <c r="O191" s="234"/>
      <c r="P191" s="234"/>
      <c r="Q191" s="234"/>
      <c r="R191" s="234"/>
      <c r="S191" s="234"/>
      <c r="T191" s="57" t="s">
        <v>399</v>
      </c>
      <c r="U191" s="35"/>
      <c r="V191" s="171"/>
      <c r="W191" s="163" t="s">
        <v>392</v>
      </c>
      <c r="X191" s="179">
        <f>V188-X189</f>
        <v>21</v>
      </c>
      <c r="Y191" s="45">
        <v>150000</v>
      </c>
      <c r="Z191" s="45"/>
      <c r="AA191" s="65">
        <v>0.5</v>
      </c>
      <c r="AB191" s="161">
        <f t="shared" si="8"/>
        <v>1575000</v>
      </c>
      <c r="AC191" s="235"/>
      <c r="AD191" s="235"/>
      <c r="AE191" s="157"/>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c r="DK191" s="41"/>
      <c r="DL191" s="41"/>
      <c r="DM191" s="41"/>
      <c r="DN191" s="41"/>
      <c r="DO191" s="41"/>
      <c r="DP191" s="41"/>
      <c r="DQ191" s="41"/>
      <c r="DR191" s="41"/>
      <c r="DS191" s="41"/>
      <c r="DT191" s="41"/>
      <c r="DU191" s="41"/>
      <c r="DV191" s="41"/>
      <c r="DW191" s="41"/>
      <c r="DX191" s="41"/>
      <c r="DY191" s="41"/>
      <c r="DZ191" s="41"/>
      <c r="EA191" s="41"/>
      <c r="EB191" s="41"/>
      <c r="EC191" s="41"/>
      <c r="ED191" s="41"/>
      <c r="EE191" s="41"/>
      <c r="EF191" s="41"/>
      <c r="EG191" s="41"/>
      <c r="EH191" s="41"/>
      <c r="EI191" s="41"/>
      <c r="EJ191" s="41"/>
      <c r="EK191" s="41"/>
      <c r="EL191" s="41"/>
      <c r="EM191" s="41"/>
      <c r="EN191" s="41"/>
      <c r="EO191" s="41"/>
      <c r="EP191" s="41"/>
      <c r="EQ191" s="41"/>
      <c r="ER191" s="41"/>
      <c r="ES191" s="41"/>
      <c r="ET191" s="41"/>
      <c r="EU191" s="41"/>
      <c r="EV191" s="41"/>
      <c r="EW191" s="41"/>
      <c r="EX191" s="41"/>
      <c r="EY191" s="41"/>
      <c r="EZ191" s="41"/>
      <c r="FA191" s="41"/>
      <c r="FB191" s="41"/>
      <c r="FC191" s="41"/>
      <c r="FD191" s="41"/>
      <c r="FE191" s="41"/>
      <c r="FF191" s="41"/>
      <c r="FG191" s="41"/>
      <c r="FH191" s="41"/>
      <c r="FI191" s="41"/>
      <c r="FJ191" s="41"/>
      <c r="FK191" s="41"/>
      <c r="FL191" s="41"/>
      <c r="FM191" s="41"/>
      <c r="FN191" s="41"/>
      <c r="FO191" s="41"/>
      <c r="FP191" s="41"/>
      <c r="FQ191" s="41"/>
      <c r="FR191" s="41"/>
      <c r="FS191" s="41"/>
      <c r="FT191" s="41"/>
      <c r="FU191" s="41"/>
      <c r="FV191" s="41"/>
      <c r="FW191" s="41"/>
      <c r="FX191" s="41"/>
      <c r="FY191" s="41"/>
      <c r="FZ191" s="41"/>
      <c r="GA191" s="41"/>
      <c r="GB191" s="41"/>
      <c r="GC191" s="41"/>
      <c r="GD191" s="41"/>
      <c r="GE191" s="41"/>
      <c r="GF191" s="41"/>
      <c r="GG191" s="41"/>
      <c r="GH191" s="41"/>
      <c r="GI191" s="41"/>
      <c r="GJ191" s="41"/>
      <c r="GK191" s="41"/>
      <c r="GL191" s="41"/>
      <c r="GM191" s="41"/>
      <c r="GN191" s="41"/>
      <c r="GO191" s="41"/>
      <c r="GP191" s="41"/>
      <c r="GQ191" s="41"/>
      <c r="GR191" s="41"/>
      <c r="GS191" s="41"/>
      <c r="GT191" s="41"/>
      <c r="GU191" s="41"/>
      <c r="GV191" s="41"/>
      <c r="GW191" s="41"/>
      <c r="GX191" s="41"/>
      <c r="GY191" s="41"/>
      <c r="GZ191" s="41"/>
      <c r="HA191" s="41"/>
      <c r="HB191" s="41"/>
      <c r="HC191" s="41"/>
      <c r="HD191" s="41"/>
      <c r="HE191" s="41"/>
      <c r="HF191" s="41"/>
      <c r="HG191" s="41"/>
      <c r="HH191" s="41"/>
      <c r="HI191" s="41"/>
      <c r="HJ191" s="41"/>
      <c r="HK191" s="41"/>
      <c r="HL191" s="41"/>
      <c r="HM191" s="41"/>
      <c r="HN191" s="41"/>
      <c r="HO191" s="41"/>
      <c r="HP191" s="41"/>
      <c r="HQ191" s="41"/>
      <c r="HR191" s="41"/>
      <c r="HS191" s="41"/>
      <c r="HT191" s="41"/>
      <c r="HU191" s="41"/>
      <c r="HV191" s="41"/>
      <c r="HW191" s="41"/>
      <c r="HX191" s="41"/>
      <c r="HY191" s="41"/>
      <c r="HZ191" s="41"/>
      <c r="IA191" s="41"/>
      <c r="IB191" s="41"/>
      <c r="IC191" s="41"/>
      <c r="ID191" s="41"/>
      <c r="IE191" s="41"/>
      <c r="IF191" s="41"/>
      <c r="IG191" s="41"/>
      <c r="IH191" s="41"/>
      <c r="II191" s="41"/>
      <c r="IJ191" s="41"/>
      <c r="IK191" s="41"/>
      <c r="IL191" s="41"/>
      <c r="IM191" s="41"/>
      <c r="IN191" s="41"/>
      <c r="IO191" s="41"/>
      <c r="IP191" s="41"/>
      <c r="IQ191" s="41"/>
      <c r="IR191" s="41"/>
      <c r="IS191" s="41"/>
      <c r="IT191" s="41"/>
      <c r="IU191" s="41"/>
    </row>
    <row r="192" spans="1:255" s="42" customFormat="1" ht="23.25" customHeight="1">
      <c r="A192" s="229"/>
      <c r="B192" s="278"/>
      <c r="C192" s="267"/>
      <c r="D192" s="267"/>
      <c r="E192" s="268"/>
      <c r="F192" s="268"/>
      <c r="G192" s="232"/>
      <c r="H192" s="232"/>
      <c r="I192" s="307"/>
      <c r="J192" s="232"/>
      <c r="K192" s="33"/>
      <c r="L192" s="233"/>
      <c r="M192" s="234"/>
      <c r="N192" s="234"/>
      <c r="O192" s="234"/>
      <c r="P192" s="234"/>
      <c r="Q192" s="234"/>
      <c r="R192" s="234"/>
      <c r="S192" s="234"/>
      <c r="T192" s="57" t="s">
        <v>417</v>
      </c>
      <c r="U192" s="35"/>
      <c r="V192" s="171"/>
      <c r="W192" s="163" t="s">
        <v>392</v>
      </c>
      <c r="X192" s="179">
        <f>X190-X191</f>
        <v>29</v>
      </c>
      <c r="Y192" s="45">
        <v>150000</v>
      </c>
      <c r="Z192" s="45"/>
      <c r="AA192" s="65">
        <v>0</v>
      </c>
      <c r="AB192" s="161">
        <f t="shared" si="8"/>
        <v>0</v>
      </c>
      <c r="AC192" s="235"/>
      <c r="AD192" s="235"/>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1"/>
      <c r="EY192" s="41"/>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1"/>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1"/>
      <c r="HM192" s="41"/>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1"/>
      <c r="IP192" s="41"/>
      <c r="IQ192" s="41"/>
      <c r="IR192" s="41"/>
      <c r="IS192" s="41"/>
      <c r="IT192" s="41"/>
      <c r="IU192" s="41"/>
    </row>
    <row r="193" spans="1:255" s="42" customFormat="1" ht="40.5" customHeight="1">
      <c r="A193" s="229">
        <v>16</v>
      </c>
      <c r="B193" s="231" t="s">
        <v>610</v>
      </c>
      <c r="C193" s="267">
        <v>62</v>
      </c>
      <c r="D193" s="267">
        <v>542</v>
      </c>
      <c r="E193" s="268"/>
      <c r="F193" s="268" t="s">
        <v>26</v>
      </c>
      <c r="G193" s="232">
        <v>40.6</v>
      </c>
      <c r="H193" s="232"/>
      <c r="I193" s="307">
        <v>40.6</v>
      </c>
      <c r="J193" s="232">
        <v>1350.6</v>
      </c>
      <c r="K193" s="33"/>
      <c r="L193" s="233">
        <f>(I193+I198)/J193*100</f>
        <v>44.024877832074637</v>
      </c>
      <c r="M193" s="234">
        <f>IF(L193&lt;10,2,IF(L193&lt;20,3,IF(L193&lt;30,5,IF(L193&gt;=70,12,IF(L193&gt;=30,6)))))</f>
        <v>6</v>
      </c>
      <c r="N193" s="234">
        <v>2</v>
      </c>
      <c r="O193" s="234">
        <f>$O$7</f>
        <v>80000</v>
      </c>
      <c r="P193" s="234">
        <f>(I193+I198)*O193</f>
        <v>47568000</v>
      </c>
      <c r="Q193" s="234">
        <f>$Q$7*(I193+I198)</f>
        <v>142704000</v>
      </c>
      <c r="R193" s="234">
        <f>M193*N193*$R$7</f>
        <v>6120000</v>
      </c>
      <c r="S193" s="234">
        <f>R193+Q193+P193</f>
        <v>196392000</v>
      </c>
      <c r="T193" s="59" t="s">
        <v>611</v>
      </c>
      <c r="U193" s="44">
        <v>25</v>
      </c>
      <c r="V193" s="170">
        <f>G193/U193</f>
        <v>1.6240000000000001</v>
      </c>
      <c r="W193" s="44" t="s">
        <v>2</v>
      </c>
      <c r="X193" s="175">
        <v>2</v>
      </c>
      <c r="Y193" s="45"/>
      <c r="Z193" s="33"/>
      <c r="AA193" s="39"/>
      <c r="AB193" s="40"/>
      <c r="AC193" s="235">
        <f>SUM(AB193:AB197)</f>
        <v>9050000</v>
      </c>
      <c r="AD193" s="235">
        <f>AC193+AC198+S193</f>
        <v>300692000</v>
      </c>
      <c r="AE193" s="236" t="s">
        <v>612</v>
      </c>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c r="DA193" s="41"/>
      <c r="DB193" s="41"/>
      <c r="DC193" s="41"/>
      <c r="DD193" s="41"/>
      <c r="DE193" s="41"/>
      <c r="DF193" s="41"/>
      <c r="DG193" s="41"/>
      <c r="DH193" s="41"/>
      <c r="DI193" s="41"/>
      <c r="DJ193" s="41"/>
      <c r="DK193" s="41"/>
      <c r="DL193" s="41"/>
      <c r="DM193" s="41"/>
      <c r="DN193" s="41"/>
      <c r="DO193" s="41"/>
      <c r="DP193" s="41"/>
      <c r="DQ193" s="41"/>
      <c r="DR193" s="41"/>
      <c r="DS193" s="41"/>
      <c r="DT193" s="41"/>
      <c r="DU193" s="41"/>
      <c r="DV193" s="41"/>
      <c r="DW193" s="41"/>
      <c r="DX193" s="41"/>
      <c r="DY193" s="41"/>
      <c r="DZ193" s="41"/>
      <c r="EA193" s="41"/>
      <c r="EB193" s="41"/>
      <c r="EC193" s="41"/>
      <c r="ED193" s="41"/>
      <c r="EE193" s="41"/>
      <c r="EF193" s="41"/>
      <c r="EG193" s="41"/>
      <c r="EH193" s="41"/>
      <c r="EI193" s="41"/>
      <c r="EJ193" s="41"/>
      <c r="EK193" s="41"/>
      <c r="EL193" s="41"/>
      <c r="EM193" s="41"/>
      <c r="EN193" s="41"/>
      <c r="EO193" s="41"/>
      <c r="EP193" s="41"/>
      <c r="EQ193" s="41"/>
      <c r="ER193" s="41"/>
      <c r="ES193" s="41"/>
      <c r="ET193" s="41"/>
      <c r="EU193" s="41"/>
      <c r="EV193" s="41"/>
      <c r="EW193" s="41"/>
      <c r="EX193" s="41"/>
      <c r="EY193" s="41"/>
      <c r="EZ193" s="41"/>
      <c r="FA193" s="41"/>
      <c r="FB193" s="41"/>
      <c r="FC193" s="41"/>
      <c r="FD193" s="41"/>
      <c r="FE193" s="41"/>
      <c r="FF193" s="41"/>
      <c r="FG193" s="41"/>
      <c r="FH193" s="41"/>
      <c r="FI193" s="41"/>
      <c r="FJ193" s="41"/>
      <c r="FK193" s="41"/>
      <c r="FL193" s="41"/>
      <c r="FM193" s="41"/>
      <c r="FN193" s="41"/>
      <c r="FO193" s="41"/>
      <c r="FP193" s="41"/>
      <c r="FQ193" s="41"/>
      <c r="FR193" s="41"/>
      <c r="FS193" s="41"/>
      <c r="FT193" s="41"/>
      <c r="FU193" s="41"/>
      <c r="FV193" s="41"/>
      <c r="FW193" s="41"/>
      <c r="FX193" s="41"/>
      <c r="FY193" s="41"/>
      <c r="FZ193" s="41"/>
      <c r="GA193" s="41"/>
      <c r="GB193" s="41"/>
      <c r="GC193" s="41"/>
      <c r="GD193" s="41"/>
      <c r="GE193" s="41"/>
      <c r="GF193" s="41"/>
      <c r="GG193" s="41"/>
      <c r="GH193" s="41"/>
      <c r="GI193" s="41"/>
      <c r="GJ193" s="41"/>
      <c r="GK193" s="41"/>
      <c r="GL193" s="41"/>
      <c r="GM193" s="41"/>
      <c r="GN193" s="41"/>
      <c r="GO193" s="41"/>
      <c r="GP193" s="41"/>
      <c r="GQ193" s="41"/>
      <c r="GR193" s="41"/>
      <c r="GS193" s="41"/>
      <c r="GT193" s="41"/>
      <c r="GU193" s="41"/>
      <c r="GV193" s="41"/>
      <c r="GW193" s="41"/>
      <c r="GX193" s="41"/>
      <c r="GY193" s="41"/>
      <c r="GZ193" s="41"/>
      <c r="HA193" s="41"/>
      <c r="HB193" s="41"/>
      <c r="HC193" s="41"/>
      <c r="HD193" s="41"/>
      <c r="HE193" s="41"/>
      <c r="HF193" s="41"/>
      <c r="HG193" s="41"/>
      <c r="HH193" s="41"/>
      <c r="HI193" s="41"/>
      <c r="HJ193" s="41"/>
      <c r="HK193" s="41"/>
      <c r="HL193" s="41"/>
      <c r="HM193" s="41"/>
      <c r="HN193" s="41"/>
      <c r="HO193" s="41"/>
      <c r="HP193" s="41"/>
      <c r="HQ193" s="41"/>
      <c r="HR193" s="41"/>
      <c r="HS193" s="41"/>
      <c r="HT193" s="41"/>
      <c r="HU193" s="41"/>
      <c r="HV193" s="41"/>
      <c r="HW193" s="41"/>
      <c r="HX193" s="41"/>
      <c r="HY193" s="41"/>
      <c r="HZ193" s="41"/>
      <c r="IA193" s="41"/>
      <c r="IB193" s="41"/>
      <c r="IC193" s="41"/>
      <c r="ID193" s="41"/>
      <c r="IE193" s="41"/>
      <c r="IF193" s="41"/>
      <c r="IG193" s="41"/>
      <c r="IH193" s="41"/>
      <c r="II193" s="41"/>
      <c r="IJ193" s="41"/>
      <c r="IK193" s="41"/>
      <c r="IL193" s="41"/>
      <c r="IM193" s="41"/>
      <c r="IN193" s="41"/>
      <c r="IO193" s="41"/>
      <c r="IP193" s="41"/>
      <c r="IQ193" s="41"/>
      <c r="IR193" s="41"/>
      <c r="IS193" s="41"/>
      <c r="IT193" s="41"/>
      <c r="IU193" s="41"/>
    </row>
    <row r="194" spans="1:255" s="42" customFormat="1" ht="23.25" customHeight="1">
      <c r="A194" s="229"/>
      <c r="B194" s="231"/>
      <c r="C194" s="267"/>
      <c r="D194" s="267"/>
      <c r="E194" s="268"/>
      <c r="F194" s="268"/>
      <c r="G194" s="232"/>
      <c r="H194" s="232"/>
      <c r="I194" s="307"/>
      <c r="J194" s="232"/>
      <c r="K194" s="33"/>
      <c r="L194" s="233"/>
      <c r="M194" s="234"/>
      <c r="N194" s="234"/>
      <c r="O194" s="234"/>
      <c r="P194" s="234"/>
      <c r="Q194" s="234"/>
      <c r="R194" s="234"/>
      <c r="S194" s="234"/>
      <c r="T194" s="57" t="s">
        <v>399</v>
      </c>
      <c r="U194" s="44"/>
      <c r="V194" s="171"/>
      <c r="W194" s="44" t="s">
        <v>2</v>
      </c>
      <c r="X194" s="175">
        <v>2</v>
      </c>
      <c r="Y194" s="45">
        <v>3850000</v>
      </c>
      <c r="Z194" s="33"/>
      <c r="AA194" s="39">
        <v>1</v>
      </c>
      <c r="AB194" s="40">
        <f>X194*Y194*AA194</f>
        <v>7700000</v>
      </c>
      <c r="AC194" s="235"/>
      <c r="AD194" s="235"/>
      <c r="AE194" s="237"/>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c r="DA194" s="41"/>
      <c r="DB194" s="41"/>
      <c r="DC194" s="41"/>
      <c r="DD194" s="41"/>
      <c r="DE194" s="41"/>
      <c r="DF194" s="41"/>
      <c r="DG194" s="41"/>
      <c r="DH194" s="41"/>
      <c r="DI194" s="41"/>
      <c r="DJ194" s="41"/>
      <c r="DK194" s="41"/>
      <c r="DL194" s="41"/>
      <c r="DM194" s="41"/>
      <c r="DN194" s="41"/>
      <c r="DO194" s="41"/>
      <c r="DP194" s="41"/>
      <c r="DQ194" s="41"/>
      <c r="DR194" s="41"/>
      <c r="DS194" s="41"/>
      <c r="DT194" s="41"/>
      <c r="DU194" s="41"/>
      <c r="DV194" s="41"/>
      <c r="DW194" s="41"/>
      <c r="DX194" s="41"/>
      <c r="DY194" s="41"/>
      <c r="DZ194" s="41"/>
      <c r="EA194" s="41"/>
      <c r="EB194" s="41"/>
      <c r="EC194" s="41"/>
      <c r="ED194" s="41"/>
      <c r="EE194" s="41"/>
      <c r="EF194" s="41"/>
      <c r="EG194" s="41"/>
      <c r="EH194" s="41"/>
      <c r="EI194" s="41"/>
      <c r="EJ194" s="41"/>
      <c r="EK194" s="41"/>
      <c r="EL194" s="41"/>
      <c r="EM194" s="41"/>
      <c r="EN194" s="41"/>
      <c r="EO194" s="41"/>
      <c r="EP194" s="41"/>
      <c r="EQ194" s="41"/>
      <c r="ER194" s="41"/>
      <c r="ES194" s="41"/>
      <c r="ET194" s="41"/>
      <c r="EU194" s="41"/>
      <c r="EV194" s="41"/>
      <c r="EW194" s="41"/>
      <c r="EX194" s="41"/>
      <c r="EY194" s="41"/>
      <c r="EZ194" s="41"/>
      <c r="FA194" s="41"/>
      <c r="FB194" s="41"/>
      <c r="FC194" s="41"/>
      <c r="FD194" s="41"/>
      <c r="FE194" s="41"/>
      <c r="FF194" s="41"/>
      <c r="FG194" s="41"/>
      <c r="FH194" s="41"/>
      <c r="FI194" s="41"/>
      <c r="FJ194" s="41"/>
      <c r="FK194" s="41"/>
      <c r="FL194" s="41"/>
      <c r="FM194" s="41"/>
      <c r="FN194" s="41"/>
      <c r="FO194" s="41"/>
      <c r="FP194" s="41"/>
      <c r="FQ194" s="41"/>
      <c r="FR194" s="41"/>
      <c r="FS194" s="41"/>
      <c r="FT194" s="41"/>
      <c r="FU194" s="41"/>
      <c r="FV194" s="41"/>
      <c r="FW194" s="41"/>
      <c r="FX194" s="41"/>
      <c r="FY194" s="41"/>
      <c r="FZ194" s="41"/>
      <c r="GA194" s="41"/>
      <c r="GB194" s="41"/>
      <c r="GC194" s="41"/>
      <c r="GD194" s="41"/>
      <c r="GE194" s="41"/>
      <c r="GF194" s="41"/>
      <c r="GG194" s="41"/>
      <c r="GH194" s="41"/>
      <c r="GI194" s="41"/>
      <c r="GJ194" s="41"/>
      <c r="GK194" s="41"/>
      <c r="GL194" s="41"/>
      <c r="GM194" s="41"/>
      <c r="GN194" s="41"/>
      <c r="GO194" s="41"/>
      <c r="GP194" s="41"/>
      <c r="GQ194" s="41"/>
      <c r="GR194" s="41"/>
      <c r="GS194" s="41"/>
      <c r="GT194" s="41"/>
      <c r="GU194" s="41"/>
      <c r="GV194" s="41"/>
      <c r="GW194" s="41"/>
      <c r="GX194" s="41"/>
      <c r="GY194" s="41"/>
      <c r="GZ194" s="41"/>
      <c r="HA194" s="41"/>
      <c r="HB194" s="41"/>
      <c r="HC194" s="41"/>
      <c r="HD194" s="41"/>
      <c r="HE194" s="41"/>
      <c r="HF194" s="41"/>
      <c r="HG194" s="41"/>
      <c r="HH194" s="41"/>
      <c r="HI194" s="41"/>
      <c r="HJ194" s="41"/>
      <c r="HK194" s="41"/>
      <c r="HL194" s="41"/>
      <c r="HM194" s="41"/>
      <c r="HN194" s="41"/>
      <c r="HO194" s="41"/>
      <c r="HP194" s="41"/>
      <c r="HQ194" s="41"/>
      <c r="HR194" s="41"/>
      <c r="HS194" s="41"/>
      <c r="HT194" s="41"/>
      <c r="HU194" s="41"/>
      <c r="HV194" s="41"/>
      <c r="HW194" s="41"/>
      <c r="HX194" s="41"/>
      <c r="HY194" s="41"/>
      <c r="HZ194" s="41"/>
      <c r="IA194" s="41"/>
      <c r="IB194" s="41"/>
      <c r="IC194" s="41"/>
      <c r="ID194" s="41"/>
      <c r="IE194" s="41"/>
      <c r="IF194" s="41"/>
      <c r="IG194" s="41"/>
      <c r="IH194" s="41"/>
      <c r="II194" s="41"/>
      <c r="IJ194" s="41"/>
      <c r="IK194" s="41"/>
      <c r="IL194" s="41"/>
      <c r="IM194" s="41"/>
      <c r="IN194" s="41"/>
      <c r="IO194" s="41"/>
      <c r="IP194" s="41"/>
      <c r="IQ194" s="41"/>
      <c r="IR194" s="41"/>
      <c r="IS194" s="41"/>
      <c r="IT194" s="41"/>
      <c r="IU194" s="41"/>
    </row>
    <row r="195" spans="1:255" s="42" customFormat="1" ht="39" customHeight="1">
      <c r="A195" s="229"/>
      <c r="B195" s="231"/>
      <c r="C195" s="267"/>
      <c r="D195" s="267"/>
      <c r="E195" s="268"/>
      <c r="F195" s="268"/>
      <c r="G195" s="232"/>
      <c r="H195" s="232"/>
      <c r="I195" s="307"/>
      <c r="J195" s="232"/>
      <c r="K195" s="33"/>
      <c r="L195" s="233"/>
      <c r="M195" s="234"/>
      <c r="N195" s="234"/>
      <c r="O195" s="234"/>
      <c r="P195" s="234"/>
      <c r="Q195" s="234"/>
      <c r="R195" s="234"/>
      <c r="S195" s="234"/>
      <c r="T195" s="43" t="s">
        <v>718</v>
      </c>
      <c r="U195" s="44"/>
      <c r="V195" s="170">
        <f>V193*0.3</f>
        <v>0.48720000000000002</v>
      </c>
      <c r="W195" s="44" t="s">
        <v>2</v>
      </c>
      <c r="X195" s="175">
        <v>2</v>
      </c>
      <c r="Y195" s="45"/>
      <c r="Z195" s="33"/>
      <c r="AA195" s="39"/>
      <c r="AB195" s="40"/>
      <c r="AC195" s="235"/>
      <c r="AD195" s="235"/>
      <c r="AE195" s="237"/>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c r="DA195" s="41"/>
      <c r="DB195" s="41"/>
      <c r="DC195" s="41"/>
      <c r="DD195" s="41"/>
      <c r="DE195" s="41"/>
      <c r="DF195" s="41"/>
      <c r="DG195" s="41"/>
      <c r="DH195" s="41"/>
      <c r="DI195" s="41"/>
      <c r="DJ195" s="41"/>
      <c r="DK195" s="41"/>
      <c r="DL195" s="41"/>
      <c r="DM195" s="41"/>
      <c r="DN195" s="41"/>
      <c r="DO195" s="41"/>
      <c r="DP195" s="41"/>
      <c r="DQ195" s="41"/>
      <c r="DR195" s="41"/>
      <c r="DS195" s="41"/>
      <c r="DT195" s="41"/>
      <c r="DU195" s="41"/>
      <c r="DV195" s="41"/>
      <c r="DW195" s="41"/>
      <c r="DX195" s="41"/>
      <c r="DY195" s="41"/>
      <c r="DZ195" s="41"/>
      <c r="EA195" s="41"/>
      <c r="EB195" s="41"/>
      <c r="EC195" s="41"/>
      <c r="ED195" s="41"/>
      <c r="EE195" s="41"/>
      <c r="EF195" s="41"/>
      <c r="EG195" s="41"/>
      <c r="EH195" s="41"/>
      <c r="EI195" s="41"/>
      <c r="EJ195" s="41"/>
      <c r="EK195" s="41"/>
      <c r="EL195" s="41"/>
      <c r="EM195" s="41"/>
      <c r="EN195" s="41"/>
      <c r="EO195" s="41"/>
      <c r="EP195" s="41"/>
      <c r="EQ195" s="41"/>
      <c r="ER195" s="41"/>
      <c r="ES195" s="41"/>
      <c r="ET195" s="41"/>
      <c r="EU195" s="41"/>
      <c r="EV195" s="41"/>
      <c r="EW195" s="41"/>
      <c r="EX195" s="41"/>
      <c r="EY195" s="41"/>
      <c r="EZ195" s="41"/>
      <c r="FA195" s="41"/>
      <c r="FB195" s="41"/>
      <c r="FC195" s="41"/>
      <c r="FD195" s="41"/>
      <c r="FE195" s="41"/>
      <c r="FF195" s="41"/>
      <c r="FG195" s="41"/>
      <c r="FH195" s="41"/>
      <c r="FI195" s="41"/>
      <c r="FJ195" s="41"/>
      <c r="FK195" s="41"/>
      <c r="FL195" s="41"/>
      <c r="FM195" s="41"/>
      <c r="FN195" s="41"/>
      <c r="FO195" s="41"/>
      <c r="FP195" s="41"/>
      <c r="FQ195" s="41"/>
      <c r="FR195" s="41"/>
      <c r="FS195" s="41"/>
      <c r="FT195" s="41"/>
      <c r="FU195" s="41"/>
      <c r="FV195" s="41"/>
      <c r="FW195" s="41"/>
      <c r="FX195" s="41"/>
      <c r="FY195" s="41"/>
      <c r="FZ195" s="41"/>
      <c r="GA195" s="41"/>
      <c r="GB195" s="41"/>
      <c r="GC195" s="41"/>
      <c r="GD195" s="41"/>
      <c r="GE195" s="41"/>
      <c r="GF195" s="41"/>
      <c r="GG195" s="41"/>
      <c r="GH195" s="41"/>
      <c r="GI195" s="41"/>
      <c r="GJ195" s="41"/>
      <c r="GK195" s="41"/>
      <c r="GL195" s="41"/>
      <c r="GM195" s="41"/>
      <c r="GN195" s="41"/>
      <c r="GO195" s="41"/>
      <c r="GP195" s="41"/>
      <c r="GQ195" s="41"/>
      <c r="GR195" s="41"/>
      <c r="GS195" s="41"/>
      <c r="GT195" s="41"/>
      <c r="GU195" s="41"/>
      <c r="GV195" s="41"/>
      <c r="GW195" s="41"/>
      <c r="GX195" s="41"/>
      <c r="GY195" s="41"/>
      <c r="GZ195" s="41"/>
      <c r="HA195" s="41"/>
      <c r="HB195" s="41"/>
      <c r="HC195" s="41"/>
      <c r="HD195" s="41"/>
      <c r="HE195" s="41"/>
      <c r="HF195" s="41"/>
      <c r="HG195" s="41"/>
      <c r="HH195" s="41"/>
      <c r="HI195" s="41"/>
      <c r="HJ195" s="41"/>
      <c r="HK195" s="41"/>
      <c r="HL195" s="41"/>
      <c r="HM195" s="41"/>
      <c r="HN195" s="41"/>
      <c r="HO195" s="41"/>
      <c r="HP195" s="41"/>
      <c r="HQ195" s="41"/>
      <c r="HR195" s="41"/>
      <c r="HS195" s="41"/>
      <c r="HT195" s="41"/>
      <c r="HU195" s="41"/>
      <c r="HV195" s="41"/>
      <c r="HW195" s="41"/>
      <c r="HX195" s="41"/>
      <c r="HY195" s="41"/>
      <c r="HZ195" s="41"/>
      <c r="IA195" s="41"/>
      <c r="IB195" s="41"/>
      <c r="IC195" s="41"/>
      <c r="ID195" s="41"/>
      <c r="IE195" s="41"/>
      <c r="IF195" s="41"/>
      <c r="IG195" s="41"/>
      <c r="IH195" s="41"/>
      <c r="II195" s="41"/>
      <c r="IJ195" s="41"/>
      <c r="IK195" s="41"/>
      <c r="IL195" s="41"/>
      <c r="IM195" s="41"/>
      <c r="IN195" s="41"/>
      <c r="IO195" s="41"/>
      <c r="IP195" s="41"/>
      <c r="IQ195" s="41"/>
      <c r="IR195" s="41"/>
      <c r="IS195" s="41"/>
      <c r="IT195" s="41"/>
      <c r="IU195" s="41"/>
    </row>
    <row r="196" spans="1:255" s="42" customFormat="1" ht="23.25" customHeight="1">
      <c r="A196" s="229"/>
      <c r="B196" s="231"/>
      <c r="C196" s="267"/>
      <c r="D196" s="267"/>
      <c r="E196" s="268"/>
      <c r="F196" s="268"/>
      <c r="G196" s="232"/>
      <c r="H196" s="232"/>
      <c r="I196" s="307"/>
      <c r="J196" s="232"/>
      <c r="K196" s="33"/>
      <c r="L196" s="233"/>
      <c r="M196" s="234"/>
      <c r="N196" s="234"/>
      <c r="O196" s="234"/>
      <c r="P196" s="234"/>
      <c r="Q196" s="234"/>
      <c r="R196" s="234"/>
      <c r="S196" s="234"/>
      <c r="T196" s="57" t="s">
        <v>399</v>
      </c>
      <c r="U196" s="44"/>
      <c r="V196" s="170"/>
      <c r="W196" s="44" t="s">
        <v>2</v>
      </c>
      <c r="X196" s="175">
        <v>1</v>
      </c>
      <c r="Y196" s="45">
        <v>2700000</v>
      </c>
      <c r="Z196" s="33"/>
      <c r="AA196" s="51">
        <v>0.5</v>
      </c>
      <c r="AB196" s="40">
        <f>X196*Y196*AA196</f>
        <v>1350000</v>
      </c>
      <c r="AC196" s="235"/>
      <c r="AD196" s="235"/>
      <c r="AE196" s="157"/>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41"/>
      <c r="EY196" s="41"/>
      <c r="EZ196" s="41"/>
      <c r="FA196" s="41"/>
      <c r="FB196" s="41"/>
      <c r="FC196" s="41"/>
      <c r="FD196" s="41"/>
      <c r="FE196" s="41"/>
      <c r="FF196" s="41"/>
      <c r="FG196" s="41"/>
      <c r="FH196" s="41"/>
      <c r="FI196" s="41"/>
      <c r="FJ196" s="41"/>
      <c r="FK196" s="41"/>
      <c r="FL196" s="41"/>
      <c r="FM196" s="41"/>
      <c r="FN196" s="41"/>
      <c r="FO196" s="41"/>
      <c r="FP196" s="41"/>
      <c r="FQ196" s="41"/>
      <c r="FR196" s="41"/>
      <c r="FS196" s="41"/>
      <c r="FT196" s="41"/>
      <c r="FU196" s="41"/>
      <c r="FV196" s="41"/>
      <c r="FW196" s="41"/>
      <c r="FX196" s="41"/>
      <c r="FY196" s="41"/>
      <c r="FZ196" s="41"/>
      <c r="GA196" s="41"/>
      <c r="GB196" s="41"/>
      <c r="GC196" s="41"/>
      <c r="GD196" s="41"/>
      <c r="GE196" s="41"/>
      <c r="GF196" s="41"/>
      <c r="GG196" s="41"/>
      <c r="GH196" s="41"/>
      <c r="GI196" s="41"/>
      <c r="GJ196" s="41"/>
      <c r="GK196" s="41"/>
      <c r="GL196" s="41"/>
      <c r="GM196" s="41"/>
      <c r="GN196" s="41"/>
      <c r="GO196" s="41"/>
      <c r="GP196" s="41"/>
      <c r="GQ196" s="41"/>
      <c r="GR196" s="41"/>
      <c r="GS196" s="41"/>
      <c r="GT196" s="41"/>
      <c r="GU196" s="41"/>
      <c r="GV196" s="41"/>
      <c r="GW196" s="41"/>
      <c r="GX196" s="41"/>
      <c r="GY196" s="41"/>
      <c r="GZ196" s="41"/>
      <c r="HA196" s="41"/>
      <c r="HB196" s="41"/>
      <c r="HC196" s="41"/>
      <c r="HD196" s="41"/>
      <c r="HE196" s="41"/>
      <c r="HF196" s="41"/>
      <c r="HG196" s="41"/>
      <c r="HH196" s="41"/>
      <c r="HI196" s="41"/>
      <c r="HJ196" s="41"/>
      <c r="HK196" s="41"/>
      <c r="HL196" s="41"/>
      <c r="HM196" s="41"/>
      <c r="HN196" s="41"/>
      <c r="HO196" s="41"/>
      <c r="HP196" s="41"/>
      <c r="HQ196" s="41"/>
      <c r="HR196" s="41"/>
      <c r="HS196" s="41"/>
      <c r="HT196" s="41"/>
      <c r="HU196" s="41"/>
      <c r="HV196" s="41"/>
      <c r="HW196" s="41"/>
      <c r="HX196" s="41"/>
      <c r="HY196" s="41"/>
      <c r="HZ196" s="41"/>
      <c r="IA196" s="41"/>
      <c r="IB196" s="41"/>
      <c r="IC196" s="41"/>
      <c r="ID196" s="41"/>
      <c r="IE196" s="41"/>
      <c r="IF196" s="41"/>
      <c r="IG196" s="41"/>
      <c r="IH196" s="41"/>
      <c r="II196" s="41"/>
      <c r="IJ196" s="41"/>
      <c r="IK196" s="41"/>
      <c r="IL196" s="41"/>
      <c r="IM196" s="41"/>
      <c r="IN196" s="41"/>
      <c r="IO196" s="41"/>
      <c r="IP196" s="41"/>
      <c r="IQ196" s="41"/>
      <c r="IR196" s="41"/>
      <c r="IS196" s="41"/>
      <c r="IT196" s="41"/>
      <c r="IU196" s="41"/>
    </row>
    <row r="197" spans="1:255" s="42" customFormat="1" ht="23.25" customHeight="1">
      <c r="A197" s="229"/>
      <c r="B197" s="231"/>
      <c r="C197" s="267"/>
      <c r="D197" s="267"/>
      <c r="E197" s="268"/>
      <c r="F197" s="268"/>
      <c r="G197" s="232"/>
      <c r="H197" s="232"/>
      <c r="I197" s="307"/>
      <c r="J197" s="232"/>
      <c r="K197" s="33"/>
      <c r="L197" s="233"/>
      <c r="M197" s="234"/>
      <c r="N197" s="234"/>
      <c r="O197" s="234"/>
      <c r="P197" s="234"/>
      <c r="Q197" s="234"/>
      <c r="R197" s="234"/>
      <c r="S197" s="234"/>
      <c r="T197" s="57" t="s">
        <v>417</v>
      </c>
      <c r="U197" s="44"/>
      <c r="V197" s="171"/>
      <c r="W197" s="44" t="s">
        <v>2</v>
      </c>
      <c r="X197" s="175">
        <v>1</v>
      </c>
      <c r="Y197" s="45">
        <v>2700000</v>
      </c>
      <c r="Z197" s="33"/>
      <c r="AA197" s="51">
        <v>0</v>
      </c>
      <c r="AB197" s="40">
        <f>X197*Y197*AA197</f>
        <v>0</v>
      </c>
      <c r="AC197" s="235"/>
      <c r="AD197" s="235"/>
    </row>
    <row r="198" spans="1:255" s="42" customFormat="1" ht="37.5" customHeight="1">
      <c r="A198" s="229"/>
      <c r="B198" s="231"/>
      <c r="C198" s="267">
        <v>62</v>
      </c>
      <c r="D198" s="267">
        <v>487</v>
      </c>
      <c r="E198" s="268"/>
      <c r="F198" s="268" t="s">
        <v>26</v>
      </c>
      <c r="G198" s="232">
        <v>554</v>
      </c>
      <c r="H198" s="232"/>
      <c r="I198" s="307">
        <v>554</v>
      </c>
      <c r="J198" s="232"/>
      <c r="K198" s="33"/>
      <c r="L198" s="233"/>
      <c r="M198" s="234"/>
      <c r="N198" s="234"/>
      <c r="O198" s="234"/>
      <c r="P198" s="234"/>
      <c r="Q198" s="234"/>
      <c r="R198" s="234"/>
      <c r="S198" s="234"/>
      <c r="T198" s="43" t="s">
        <v>410</v>
      </c>
      <c r="U198" s="35">
        <v>25</v>
      </c>
      <c r="V198" s="170">
        <f>G198/U198</f>
        <v>22.16</v>
      </c>
      <c r="W198" s="171" t="str">
        <f>'[1]bang gia'!$C$46</f>
        <v>đồng/cây</v>
      </c>
      <c r="X198" s="175">
        <v>3</v>
      </c>
      <c r="Y198" s="45"/>
      <c r="Z198" s="33"/>
      <c r="AA198" s="39"/>
      <c r="AB198" s="40"/>
      <c r="AC198" s="235">
        <f>SUM(AB198:AB206)</f>
        <v>95250000</v>
      </c>
      <c r="AD198" s="235"/>
      <c r="AE198" s="236" t="s">
        <v>612</v>
      </c>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c r="DA198" s="41"/>
      <c r="DB198" s="41"/>
      <c r="DC198" s="41"/>
      <c r="DD198" s="41"/>
      <c r="DE198" s="41"/>
      <c r="DF198" s="41"/>
      <c r="DG198" s="41"/>
      <c r="DH198" s="41"/>
      <c r="DI198" s="41"/>
      <c r="DJ198" s="41"/>
      <c r="DK198" s="41"/>
      <c r="DL198" s="41"/>
      <c r="DM198" s="41"/>
      <c r="DN198" s="41"/>
      <c r="DO198" s="41"/>
      <c r="DP198" s="41"/>
      <c r="DQ198" s="41"/>
      <c r="DR198" s="41"/>
      <c r="DS198" s="41"/>
      <c r="DT198" s="41"/>
      <c r="DU198" s="41"/>
      <c r="DV198" s="41"/>
      <c r="DW198" s="41"/>
      <c r="DX198" s="41"/>
      <c r="DY198" s="41"/>
      <c r="DZ198" s="41"/>
      <c r="EA198" s="41"/>
      <c r="EB198" s="41"/>
      <c r="EC198" s="41"/>
      <c r="ED198" s="41"/>
      <c r="EE198" s="41"/>
      <c r="EF198" s="41"/>
      <c r="EG198" s="41"/>
      <c r="EH198" s="41"/>
      <c r="EI198" s="41"/>
      <c r="EJ198" s="41"/>
      <c r="EK198" s="41"/>
      <c r="EL198" s="41"/>
      <c r="EM198" s="41"/>
      <c r="EN198" s="41"/>
      <c r="EO198" s="41"/>
      <c r="EP198" s="41"/>
      <c r="EQ198" s="41"/>
      <c r="ER198" s="41"/>
      <c r="ES198" s="41"/>
      <c r="ET198" s="41"/>
      <c r="EU198" s="41"/>
      <c r="EV198" s="41"/>
      <c r="EW198" s="41"/>
      <c r="EX198" s="41"/>
      <c r="EY198" s="41"/>
      <c r="EZ198" s="41"/>
      <c r="FA198" s="41"/>
      <c r="FB198" s="41"/>
      <c r="FC198" s="41"/>
      <c r="FD198" s="41"/>
      <c r="FE198" s="41"/>
      <c r="FF198" s="41"/>
      <c r="FG198" s="41"/>
      <c r="FH198" s="41"/>
      <c r="FI198" s="41"/>
      <c r="FJ198" s="41"/>
      <c r="FK198" s="41"/>
      <c r="FL198" s="41"/>
      <c r="FM198" s="41"/>
      <c r="FN198" s="41"/>
      <c r="FO198" s="41"/>
      <c r="FP198" s="41"/>
      <c r="FQ198" s="41"/>
      <c r="FR198" s="41"/>
      <c r="FS198" s="41"/>
      <c r="FT198" s="41"/>
      <c r="FU198" s="41"/>
      <c r="FV198" s="41"/>
      <c r="FW198" s="41"/>
      <c r="FX198" s="41"/>
      <c r="FY198" s="41"/>
      <c r="FZ198" s="41"/>
      <c r="GA198" s="41"/>
      <c r="GB198" s="41"/>
      <c r="GC198" s="41"/>
      <c r="GD198" s="41"/>
      <c r="GE198" s="41"/>
      <c r="GF198" s="41"/>
      <c r="GG198" s="41"/>
      <c r="GH198" s="41"/>
      <c r="GI198" s="41"/>
      <c r="GJ198" s="41"/>
      <c r="GK198" s="41"/>
      <c r="GL198" s="41"/>
      <c r="GM198" s="41"/>
      <c r="GN198" s="41"/>
      <c r="GO198" s="41"/>
      <c r="GP198" s="41"/>
      <c r="GQ198" s="41"/>
      <c r="GR198" s="41"/>
      <c r="GS198" s="41"/>
      <c r="GT198" s="41"/>
      <c r="GU198" s="41"/>
      <c r="GV198" s="41"/>
      <c r="GW198" s="41"/>
      <c r="GX198" s="41"/>
      <c r="GY198" s="41"/>
      <c r="GZ198" s="41"/>
      <c r="HA198" s="41"/>
      <c r="HB198" s="41"/>
      <c r="HC198" s="41"/>
      <c r="HD198" s="41"/>
      <c r="HE198" s="41"/>
      <c r="HF198" s="41"/>
      <c r="HG198" s="41"/>
      <c r="HH198" s="41"/>
      <c r="HI198" s="41"/>
      <c r="HJ198" s="41"/>
      <c r="HK198" s="41"/>
      <c r="HL198" s="41"/>
      <c r="HM198" s="41"/>
      <c r="HN198" s="41"/>
      <c r="HO198" s="41"/>
      <c r="HP198" s="41"/>
      <c r="HQ198" s="41"/>
      <c r="HR198" s="41"/>
      <c r="HS198" s="41"/>
      <c r="HT198" s="41"/>
      <c r="HU198" s="41"/>
      <c r="HV198" s="41"/>
      <c r="HW198" s="41"/>
      <c r="HX198" s="41"/>
      <c r="HY198" s="41"/>
      <c r="HZ198" s="41"/>
      <c r="IA198" s="41"/>
      <c r="IB198" s="41"/>
      <c r="IC198" s="41"/>
      <c r="ID198" s="41"/>
      <c r="IE198" s="41"/>
      <c r="IF198" s="41"/>
      <c r="IG198" s="41"/>
      <c r="IH198" s="41"/>
      <c r="II198" s="41"/>
      <c r="IJ198" s="41"/>
      <c r="IK198" s="41"/>
      <c r="IL198" s="41"/>
      <c r="IM198" s="41"/>
      <c r="IN198" s="41"/>
      <c r="IO198" s="41"/>
      <c r="IP198" s="41"/>
      <c r="IQ198" s="41"/>
      <c r="IR198" s="41"/>
      <c r="IS198" s="41"/>
      <c r="IT198" s="41"/>
      <c r="IU198" s="41"/>
    </row>
    <row r="199" spans="1:255" s="42" customFormat="1" ht="23.25" customHeight="1">
      <c r="A199" s="229"/>
      <c r="B199" s="231"/>
      <c r="C199" s="267"/>
      <c r="D199" s="267"/>
      <c r="E199" s="268"/>
      <c r="F199" s="268"/>
      <c r="G199" s="232"/>
      <c r="H199" s="232"/>
      <c r="I199" s="307"/>
      <c r="J199" s="232"/>
      <c r="K199" s="33"/>
      <c r="L199" s="233"/>
      <c r="M199" s="234"/>
      <c r="N199" s="234"/>
      <c r="O199" s="234"/>
      <c r="P199" s="234"/>
      <c r="Q199" s="234"/>
      <c r="R199" s="234"/>
      <c r="S199" s="234"/>
      <c r="T199" s="57" t="s">
        <v>399</v>
      </c>
      <c r="U199" s="35"/>
      <c r="V199" s="171"/>
      <c r="W199" s="171" t="str">
        <f>'[1]bang gia'!$C$46</f>
        <v>đồng/cây</v>
      </c>
      <c r="X199" s="175">
        <v>3</v>
      </c>
      <c r="Y199" s="45">
        <v>4500000</v>
      </c>
      <c r="Z199" s="33"/>
      <c r="AA199" s="39">
        <v>1</v>
      </c>
      <c r="AB199" s="40">
        <f>X199*Y199*AA199</f>
        <v>13500000</v>
      </c>
      <c r="AC199" s="235"/>
      <c r="AD199" s="235"/>
      <c r="AE199" s="237"/>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c r="DA199" s="41"/>
      <c r="DB199" s="41"/>
      <c r="DC199" s="41"/>
      <c r="DD199" s="41"/>
      <c r="DE199" s="41"/>
      <c r="DF199" s="41"/>
      <c r="DG199" s="41"/>
      <c r="DH199" s="41"/>
      <c r="DI199" s="41"/>
      <c r="DJ199" s="41"/>
      <c r="DK199" s="41"/>
      <c r="DL199" s="41"/>
      <c r="DM199" s="41"/>
      <c r="DN199" s="41"/>
      <c r="DO199" s="41"/>
      <c r="DP199" s="41"/>
      <c r="DQ199" s="41"/>
      <c r="DR199" s="41"/>
      <c r="DS199" s="41"/>
      <c r="DT199" s="41"/>
      <c r="DU199" s="41"/>
      <c r="DV199" s="41"/>
      <c r="DW199" s="41"/>
      <c r="DX199" s="41"/>
      <c r="DY199" s="41"/>
      <c r="DZ199" s="41"/>
      <c r="EA199" s="41"/>
      <c r="EB199" s="41"/>
      <c r="EC199" s="41"/>
      <c r="ED199" s="41"/>
      <c r="EE199" s="41"/>
      <c r="EF199" s="41"/>
      <c r="EG199" s="41"/>
      <c r="EH199" s="41"/>
      <c r="EI199" s="41"/>
      <c r="EJ199" s="41"/>
      <c r="EK199" s="41"/>
      <c r="EL199" s="41"/>
      <c r="EM199" s="41"/>
      <c r="EN199" s="41"/>
      <c r="EO199" s="41"/>
      <c r="EP199" s="41"/>
      <c r="EQ199" s="41"/>
      <c r="ER199" s="41"/>
      <c r="ES199" s="41"/>
      <c r="ET199" s="41"/>
      <c r="EU199" s="41"/>
      <c r="EV199" s="41"/>
      <c r="EW199" s="41"/>
      <c r="EX199" s="41"/>
      <c r="EY199" s="41"/>
      <c r="EZ199" s="41"/>
      <c r="FA199" s="41"/>
      <c r="FB199" s="41"/>
      <c r="FC199" s="41"/>
      <c r="FD199" s="41"/>
      <c r="FE199" s="41"/>
      <c r="FF199" s="41"/>
      <c r="FG199" s="41"/>
      <c r="FH199" s="41"/>
      <c r="FI199" s="41"/>
      <c r="FJ199" s="41"/>
      <c r="FK199" s="41"/>
      <c r="FL199" s="41"/>
      <c r="FM199" s="41"/>
      <c r="FN199" s="41"/>
      <c r="FO199" s="41"/>
      <c r="FP199" s="41"/>
      <c r="FQ199" s="41"/>
      <c r="FR199" s="41"/>
      <c r="FS199" s="41"/>
      <c r="FT199" s="41"/>
      <c r="FU199" s="41"/>
      <c r="FV199" s="41"/>
      <c r="FW199" s="41"/>
      <c r="FX199" s="41"/>
      <c r="FY199" s="41"/>
      <c r="FZ199" s="41"/>
      <c r="GA199" s="41"/>
      <c r="GB199" s="41"/>
      <c r="GC199" s="41"/>
      <c r="GD199" s="41"/>
      <c r="GE199" s="41"/>
      <c r="GF199" s="41"/>
      <c r="GG199" s="41"/>
      <c r="GH199" s="41"/>
      <c r="GI199" s="41"/>
      <c r="GJ199" s="41"/>
      <c r="GK199" s="41"/>
      <c r="GL199" s="41"/>
      <c r="GM199" s="41"/>
      <c r="GN199" s="41"/>
      <c r="GO199" s="41"/>
      <c r="GP199" s="41"/>
      <c r="GQ199" s="41"/>
      <c r="GR199" s="41"/>
      <c r="GS199" s="41"/>
      <c r="GT199" s="41"/>
      <c r="GU199" s="41"/>
      <c r="GV199" s="41"/>
      <c r="GW199" s="41"/>
      <c r="GX199" s="41"/>
      <c r="GY199" s="41"/>
      <c r="GZ199" s="41"/>
      <c r="HA199" s="41"/>
      <c r="HB199" s="41"/>
      <c r="HC199" s="41"/>
      <c r="HD199" s="41"/>
      <c r="HE199" s="41"/>
      <c r="HF199" s="41"/>
      <c r="HG199" s="41"/>
      <c r="HH199" s="41"/>
      <c r="HI199" s="41"/>
      <c r="HJ199" s="41"/>
      <c r="HK199" s="41"/>
      <c r="HL199" s="41"/>
      <c r="HM199" s="41"/>
      <c r="HN199" s="41"/>
      <c r="HO199" s="41"/>
      <c r="HP199" s="41"/>
      <c r="HQ199" s="41"/>
      <c r="HR199" s="41"/>
      <c r="HS199" s="41"/>
      <c r="HT199" s="41"/>
      <c r="HU199" s="41"/>
      <c r="HV199" s="41"/>
      <c r="HW199" s="41"/>
      <c r="HX199" s="41"/>
      <c r="HY199" s="41"/>
      <c r="HZ199" s="41"/>
      <c r="IA199" s="41"/>
      <c r="IB199" s="41"/>
      <c r="IC199" s="41"/>
      <c r="ID199" s="41"/>
      <c r="IE199" s="41"/>
      <c r="IF199" s="41"/>
      <c r="IG199" s="41"/>
      <c r="IH199" s="41"/>
      <c r="II199" s="41"/>
      <c r="IJ199" s="41"/>
      <c r="IK199" s="41"/>
      <c r="IL199" s="41"/>
      <c r="IM199" s="41"/>
      <c r="IN199" s="41"/>
      <c r="IO199" s="41"/>
      <c r="IP199" s="41"/>
      <c r="IQ199" s="41"/>
      <c r="IR199" s="41"/>
      <c r="IS199" s="41"/>
      <c r="IT199" s="41"/>
      <c r="IU199" s="41"/>
    </row>
    <row r="200" spans="1:255" s="42" customFormat="1" ht="36.75" customHeight="1">
      <c r="A200" s="229"/>
      <c r="B200" s="231"/>
      <c r="C200" s="267"/>
      <c r="D200" s="267"/>
      <c r="E200" s="268"/>
      <c r="F200" s="268"/>
      <c r="G200" s="232"/>
      <c r="H200" s="232"/>
      <c r="I200" s="307"/>
      <c r="J200" s="232"/>
      <c r="K200" s="33"/>
      <c r="L200" s="233"/>
      <c r="M200" s="234"/>
      <c r="N200" s="234"/>
      <c r="O200" s="234"/>
      <c r="P200" s="234"/>
      <c r="Q200" s="234"/>
      <c r="R200" s="234"/>
      <c r="S200" s="234"/>
      <c r="T200" s="43" t="s">
        <v>719</v>
      </c>
      <c r="U200" s="44"/>
      <c r="V200" s="171"/>
      <c r="W200" s="44" t="s">
        <v>2</v>
      </c>
      <c r="X200" s="175">
        <v>21</v>
      </c>
      <c r="Y200" s="45"/>
      <c r="Z200" s="33"/>
      <c r="AA200" s="39"/>
      <c r="AB200" s="40"/>
      <c r="AC200" s="235"/>
      <c r="AD200" s="235"/>
      <c r="AE200" s="237"/>
    </row>
    <row r="201" spans="1:255" s="42" customFormat="1" ht="23.25" customHeight="1">
      <c r="A201" s="229"/>
      <c r="B201" s="231"/>
      <c r="C201" s="267"/>
      <c r="D201" s="267"/>
      <c r="E201" s="268"/>
      <c r="F201" s="268"/>
      <c r="G201" s="232"/>
      <c r="H201" s="232"/>
      <c r="I201" s="307"/>
      <c r="J201" s="232"/>
      <c r="K201" s="33"/>
      <c r="L201" s="233"/>
      <c r="M201" s="234"/>
      <c r="N201" s="234"/>
      <c r="O201" s="234"/>
      <c r="P201" s="234"/>
      <c r="Q201" s="234"/>
      <c r="R201" s="234"/>
      <c r="S201" s="234"/>
      <c r="T201" s="57" t="s">
        <v>399</v>
      </c>
      <c r="U201" s="44"/>
      <c r="V201" s="171"/>
      <c r="W201" s="44" t="s">
        <v>2</v>
      </c>
      <c r="X201" s="175">
        <v>19</v>
      </c>
      <c r="Y201" s="45">
        <v>3750000</v>
      </c>
      <c r="Z201" s="33"/>
      <c r="AA201" s="39">
        <v>1</v>
      </c>
      <c r="AB201" s="40">
        <f>X201*Y201*AA201</f>
        <v>71250000</v>
      </c>
      <c r="AC201" s="235"/>
      <c r="AD201" s="235"/>
      <c r="AE201" s="237"/>
    </row>
    <row r="202" spans="1:255" s="42" customFormat="1" ht="23.25" customHeight="1">
      <c r="A202" s="229"/>
      <c r="B202" s="231"/>
      <c r="C202" s="267"/>
      <c r="D202" s="267"/>
      <c r="E202" s="268"/>
      <c r="F202" s="268"/>
      <c r="G202" s="232"/>
      <c r="H202" s="232"/>
      <c r="I202" s="307"/>
      <c r="J202" s="232"/>
      <c r="K202" s="33"/>
      <c r="L202" s="233"/>
      <c r="M202" s="234"/>
      <c r="N202" s="234"/>
      <c r="O202" s="234"/>
      <c r="P202" s="234"/>
      <c r="Q202" s="234"/>
      <c r="R202" s="234"/>
      <c r="S202" s="234"/>
      <c r="T202" s="57" t="s">
        <v>401</v>
      </c>
      <c r="U202" s="44"/>
      <c r="V202" s="170">
        <f>V198*0.3</f>
        <v>6.6479999999999997</v>
      </c>
      <c r="W202" s="44" t="s">
        <v>2</v>
      </c>
      <c r="X202" s="175">
        <v>2</v>
      </c>
      <c r="Y202" s="45">
        <v>3750000</v>
      </c>
      <c r="Z202" s="33"/>
      <c r="AA202" s="51">
        <v>0.5</v>
      </c>
      <c r="AB202" s="40">
        <f>X202*Y202*AA202</f>
        <v>3750000</v>
      </c>
      <c r="AC202" s="235"/>
      <c r="AD202" s="235"/>
      <c r="AE202" s="237"/>
    </row>
    <row r="203" spans="1:255" s="42" customFormat="1" ht="36.75" customHeight="1">
      <c r="A203" s="229"/>
      <c r="B203" s="231"/>
      <c r="C203" s="267"/>
      <c r="D203" s="267"/>
      <c r="E203" s="268"/>
      <c r="F203" s="268"/>
      <c r="G203" s="232"/>
      <c r="H203" s="232"/>
      <c r="I203" s="307"/>
      <c r="J203" s="232"/>
      <c r="K203" s="33"/>
      <c r="L203" s="233"/>
      <c r="M203" s="234"/>
      <c r="N203" s="234"/>
      <c r="O203" s="234"/>
      <c r="P203" s="234"/>
      <c r="Q203" s="234"/>
      <c r="R203" s="234"/>
      <c r="S203" s="234"/>
      <c r="T203" s="43" t="s">
        <v>720</v>
      </c>
      <c r="U203" s="44"/>
      <c r="V203" s="170"/>
      <c r="W203" s="44" t="s">
        <v>2</v>
      </c>
      <c r="X203" s="175">
        <v>5</v>
      </c>
      <c r="Y203" s="45"/>
      <c r="Z203" s="33"/>
      <c r="AA203" s="39"/>
      <c r="AB203" s="40"/>
      <c r="AC203" s="235"/>
      <c r="AD203" s="235"/>
      <c r="AE203" s="157"/>
    </row>
    <row r="204" spans="1:255" s="42" customFormat="1" ht="23.25" customHeight="1">
      <c r="A204" s="229"/>
      <c r="B204" s="231"/>
      <c r="C204" s="267"/>
      <c r="D204" s="267"/>
      <c r="E204" s="268"/>
      <c r="F204" s="268"/>
      <c r="G204" s="232"/>
      <c r="H204" s="232"/>
      <c r="I204" s="307"/>
      <c r="J204" s="232"/>
      <c r="K204" s="33"/>
      <c r="L204" s="233"/>
      <c r="M204" s="234"/>
      <c r="N204" s="234"/>
      <c r="O204" s="234"/>
      <c r="P204" s="234"/>
      <c r="Q204" s="234"/>
      <c r="R204" s="234"/>
      <c r="S204" s="234"/>
      <c r="T204" s="57" t="s">
        <v>401</v>
      </c>
      <c r="U204" s="44"/>
      <c r="V204" s="170"/>
      <c r="W204" s="44" t="s">
        <v>2</v>
      </c>
      <c r="X204" s="175">
        <v>5</v>
      </c>
      <c r="Y204" s="45">
        <v>2700000</v>
      </c>
      <c r="Z204" s="33"/>
      <c r="AA204" s="51">
        <v>0.5</v>
      </c>
      <c r="AB204" s="40">
        <f t="shared" ref="AB204:AB210" si="9">X204*Y204*AA204</f>
        <v>6750000</v>
      </c>
      <c r="AC204" s="235"/>
      <c r="AD204" s="235"/>
    </row>
    <row r="205" spans="1:255" s="42" customFormat="1" ht="23.25" customHeight="1">
      <c r="A205" s="229"/>
      <c r="B205" s="231"/>
      <c r="C205" s="267"/>
      <c r="D205" s="267"/>
      <c r="E205" s="268"/>
      <c r="F205" s="268"/>
      <c r="G205" s="232"/>
      <c r="H205" s="232"/>
      <c r="I205" s="307"/>
      <c r="J205" s="232"/>
      <c r="K205" s="33"/>
      <c r="L205" s="233"/>
      <c r="M205" s="234"/>
      <c r="N205" s="234"/>
      <c r="O205" s="234"/>
      <c r="P205" s="234"/>
      <c r="Q205" s="234"/>
      <c r="R205" s="234"/>
      <c r="S205" s="234"/>
      <c r="T205" s="43" t="s">
        <v>657</v>
      </c>
      <c r="U205" s="44"/>
      <c r="V205" s="171"/>
      <c r="W205" s="171"/>
      <c r="X205" s="175"/>
      <c r="Y205" s="175"/>
      <c r="Z205" s="33"/>
      <c r="AA205" s="39">
        <v>0</v>
      </c>
      <c r="AB205" s="175">
        <v>0</v>
      </c>
      <c r="AC205" s="235"/>
      <c r="AD205" s="235"/>
    </row>
    <row r="206" spans="1:255" s="42" customFormat="1" ht="23.25" customHeight="1">
      <c r="A206" s="229"/>
      <c r="B206" s="231"/>
      <c r="C206" s="267"/>
      <c r="D206" s="267"/>
      <c r="E206" s="268"/>
      <c r="F206" s="268"/>
      <c r="G206" s="232"/>
      <c r="H206" s="232"/>
      <c r="I206" s="307"/>
      <c r="J206" s="232"/>
      <c r="K206" s="33"/>
      <c r="L206" s="233"/>
      <c r="M206" s="234"/>
      <c r="N206" s="234"/>
      <c r="O206" s="234"/>
      <c r="P206" s="234"/>
      <c r="Q206" s="234"/>
      <c r="R206" s="234"/>
      <c r="S206" s="234"/>
      <c r="T206" s="49" t="s">
        <v>403</v>
      </c>
      <c r="U206" s="35"/>
      <c r="V206" s="35"/>
      <c r="W206" s="35" t="s">
        <v>395</v>
      </c>
      <c r="X206" s="40">
        <v>1</v>
      </c>
      <c r="Y206" s="175"/>
      <c r="Z206" s="33"/>
      <c r="AA206" s="39">
        <v>0</v>
      </c>
      <c r="AB206" s="40">
        <f t="shared" si="9"/>
        <v>0</v>
      </c>
      <c r="AC206" s="235"/>
      <c r="AD206" s="235"/>
    </row>
    <row r="207" spans="1:255" s="42" customFormat="1" ht="34.9" customHeight="1">
      <c r="A207" s="229">
        <v>17</v>
      </c>
      <c r="B207" s="230" t="s">
        <v>616</v>
      </c>
      <c r="C207" s="267">
        <v>64</v>
      </c>
      <c r="D207" s="267">
        <v>811</v>
      </c>
      <c r="E207" s="267">
        <v>298.7</v>
      </c>
      <c r="F207" s="267" t="s">
        <v>26</v>
      </c>
      <c r="G207" s="267">
        <v>504</v>
      </c>
      <c r="H207" s="282"/>
      <c r="I207" s="313">
        <v>298.7</v>
      </c>
      <c r="J207" s="229">
        <v>1461.4</v>
      </c>
      <c r="K207" s="70">
        <v>2160</v>
      </c>
      <c r="L207" s="233">
        <f>I207/J207*100</f>
        <v>20.439304776241958</v>
      </c>
      <c r="M207" s="234">
        <f>IF(L207&lt;10,2,IF(L207&lt;20,3,IF(L207&lt;30,5,IF(L207&gt;=70,12,IF(L207&gt;=30,6)))))</f>
        <v>5</v>
      </c>
      <c r="N207" s="234">
        <v>5</v>
      </c>
      <c r="O207" s="234">
        <f>$O$7</f>
        <v>80000</v>
      </c>
      <c r="P207" s="234">
        <f>I207*O207</f>
        <v>23896000</v>
      </c>
      <c r="Q207" s="234">
        <f>$Q$7*I207</f>
        <v>71688000</v>
      </c>
      <c r="R207" s="234">
        <f>M207*N207*$R$7</f>
        <v>12750000</v>
      </c>
      <c r="S207" s="234">
        <f>R207+Q207+P207</f>
        <v>108334000</v>
      </c>
      <c r="T207" s="49" t="s">
        <v>716</v>
      </c>
      <c r="U207" s="35">
        <v>25</v>
      </c>
      <c r="V207" s="170">
        <f>I207/U207</f>
        <v>11.948</v>
      </c>
      <c r="W207" s="171" t="str">
        <f>'[1]bang gia'!$C$46</f>
        <v>đồng/cây</v>
      </c>
      <c r="X207" s="175">
        <v>20</v>
      </c>
      <c r="Y207" s="175"/>
      <c r="Z207" s="33"/>
      <c r="AA207" s="71"/>
      <c r="AB207" s="161"/>
      <c r="AC207" s="235">
        <f>SUM(AB207:AB220)</f>
        <v>60120000</v>
      </c>
      <c r="AD207" s="235">
        <f>AC207+S207</f>
        <v>168454000</v>
      </c>
      <c r="AE207" s="41" t="s">
        <v>407</v>
      </c>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c r="DA207" s="41"/>
      <c r="DB207" s="41"/>
      <c r="DC207" s="41"/>
      <c r="DD207" s="41"/>
      <c r="DE207" s="41"/>
      <c r="DF207" s="41"/>
      <c r="DG207" s="41"/>
      <c r="DH207" s="41"/>
      <c r="DI207" s="41"/>
      <c r="DJ207" s="41"/>
      <c r="DK207" s="41"/>
      <c r="DL207" s="41"/>
      <c r="DM207" s="41"/>
      <c r="DN207" s="41"/>
      <c r="DO207" s="41"/>
      <c r="DP207" s="41"/>
      <c r="DQ207" s="41"/>
      <c r="DR207" s="41"/>
      <c r="DS207" s="41"/>
      <c r="DT207" s="41"/>
      <c r="DU207" s="41"/>
      <c r="DV207" s="41"/>
      <c r="DW207" s="41"/>
      <c r="DX207" s="41"/>
      <c r="DY207" s="41"/>
      <c r="DZ207" s="41"/>
      <c r="EA207" s="41"/>
      <c r="EB207" s="41"/>
      <c r="EC207" s="41"/>
      <c r="ED207" s="41"/>
      <c r="EE207" s="41"/>
      <c r="EF207" s="41"/>
      <c r="EG207" s="41"/>
      <c r="EH207" s="41"/>
      <c r="EI207" s="41"/>
      <c r="EJ207" s="41"/>
      <c r="EK207" s="41"/>
      <c r="EL207" s="41"/>
      <c r="EM207" s="41"/>
      <c r="EN207" s="41"/>
      <c r="EO207" s="41"/>
      <c r="EP207" s="41"/>
      <c r="EQ207" s="41"/>
      <c r="ER207" s="41"/>
      <c r="ES207" s="41"/>
      <c r="ET207" s="41"/>
      <c r="EU207" s="41"/>
      <c r="EV207" s="41"/>
      <c r="EW207" s="41"/>
      <c r="EX207" s="41"/>
      <c r="EY207" s="41"/>
      <c r="EZ207" s="41"/>
      <c r="FA207" s="41"/>
      <c r="FB207" s="41"/>
      <c r="FC207" s="41"/>
      <c r="FD207" s="41"/>
      <c r="FE207" s="41"/>
      <c r="FF207" s="41"/>
      <c r="FG207" s="41"/>
      <c r="FH207" s="41"/>
      <c r="FI207" s="41"/>
      <c r="FJ207" s="41"/>
      <c r="FK207" s="41"/>
      <c r="FL207" s="41"/>
      <c r="FM207" s="41"/>
      <c r="FN207" s="41"/>
      <c r="FO207" s="41"/>
      <c r="FP207" s="41"/>
      <c r="FQ207" s="41"/>
      <c r="FR207" s="41"/>
      <c r="FS207" s="41"/>
      <c r="FT207" s="41"/>
      <c r="FU207" s="41"/>
      <c r="FV207" s="41"/>
      <c r="FW207" s="41"/>
      <c r="FX207" s="41"/>
      <c r="FY207" s="41"/>
      <c r="FZ207" s="41"/>
      <c r="GA207" s="41"/>
      <c r="GB207" s="41"/>
      <c r="GC207" s="41"/>
      <c r="GD207" s="41"/>
      <c r="GE207" s="41"/>
      <c r="GF207" s="41"/>
      <c r="GG207" s="41"/>
      <c r="GH207" s="41"/>
      <c r="GI207" s="41"/>
      <c r="GJ207" s="41"/>
      <c r="GK207" s="41"/>
      <c r="GL207" s="41"/>
      <c r="GM207" s="41"/>
      <c r="GN207" s="41"/>
      <c r="GO207" s="41"/>
      <c r="GP207" s="41"/>
      <c r="GQ207" s="41"/>
      <c r="GR207" s="41"/>
      <c r="GS207" s="41"/>
      <c r="GT207" s="41"/>
      <c r="GU207" s="41"/>
      <c r="GV207" s="41"/>
      <c r="GW207" s="41"/>
      <c r="GX207" s="41"/>
      <c r="GY207" s="41"/>
      <c r="GZ207" s="41"/>
      <c r="HA207" s="41"/>
      <c r="HB207" s="41"/>
      <c r="HC207" s="41"/>
      <c r="HD207" s="41"/>
      <c r="HE207" s="41"/>
      <c r="HF207" s="41"/>
      <c r="HG207" s="41"/>
      <c r="HH207" s="41"/>
      <c r="HI207" s="41"/>
      <c r="HJ207" s="41"/>
      <c r="HK207" s="41"/>
      <c r="HL207" s="41"/>
      <c r="HM207" s="41"/>
      <c r="HN207" s="41"/>
      <c r="HO207" s="41"/>
      <c r="HP207" s="41"/>
      <c r="HQ207" s="41"/>
      <c r="HR207" s="41"/>
      <c r="HS207" s="41"/>
      <c r="HT207" s="41"/>
      <c r="HU207" s="41"/>
      <c r="HV207" s="41"/>
      <c r="HW207" s="41"/>
      <c r="HX207" s="41"/>
      <c r="HY207" s="41"/>
      <c r="HZ207" s="41"/>
      <c r="IA207" s="41"/>
      <c r="IB207" s="41"/>
      <c r="IC207" s="41"/>
      <c r="ID207" s="41"/>
      <c r="IE207" s="41"/>
      <c r="IF207" s="41"/>
      <c r="IG207" s="41"/>
      <c r="IH207" s="41"/>
      <c r="II207" s="41"/>
      <c r="IJ207" s="41"/>
      <c r="IK207" s="41"/>
      <c r="IL207" s="41"/>
      <c r="IM207" s="41"/>
      <c r="IN207" s="41"/>
      <c r="IO207" s="41"/>
      <c r="IP207" s="41"/>
      <c r="IQ207" s="41"/>
      <c r="IR207" s="41"/>
      <c r="IS207" s="41"/>
      <c r="IT207" s="41"/>
      <c r="IU207" s="41"/>
    </row>
    <row r="208" spans="1:255" s="42" customFormat="1" ht="25.5" customHeight="1">
      <c r="A208" s="229"/>
      <c r="B208" s="230"/>
      <c r="C208" s="267"/>
      <c r="D208" s="267"/>
      <c r="E208" s="267"/>
      <c r="F208" s="267"/>
      <c r="G208" s="267"/>
      <c r="H208" s="282"/>
      <c r="I208" s="313"/>
      <c r="J208" s="229"/>
      <c r="K208" s="70">
        <v>2160</v>
      </c>
      <c r="L208" s="233"/>
      <c r="M208" s="234"/>
      <c r="N208" s="234"/>
      <c r="O208" s="234"/>
      <c r="P208" s="234"/>
      <c r="Q208" s="234"/>
      <c r="R208" s="234"/>
      <c r="S208" s="234"/>
      <c r="T208" s="57" t="s">
        <v>399</v>
      </c>
      <c r="U208" s="35"/>
      <c r="V208" s="171"/>
      <c r="W208" s="171" t="str">
        <f>'[1]bang gia'!$C$46</f>
        <v>đồng/cây</v>
      </c>
      <c r="X208" s="175">
        <v>12</v>
      </c>
      <c r="Y208" s="175">
        <v>4500000</v>
      </c>
      <c r="Z208" s="33"/>
      <c r="AA208" s="71">
        <v>1</v>
      </c>
      <c r="AB208" s="161">
        <f t="shared" si="9"/>
        <v>54000000</v>
      </c>
      <c r="AC208" s="235"/>
      <c r="AD208" s="235"/>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c r="DA208" s="41"/>
      <c r="DB208" s="41"/>
      <c r="DC208" s="41"/>
      <c r="DD208" s="41"/>
      <c r="DE208" s="41"/>
      <c r="DF208" s="41"/>
      <c r="DG208" s="41"/>
      <c r="DH208" s="41"/>
      <c r="DI208" s="41"/>
      <c r="DJ208" s="41"/>
      <c r="DK208" s="41"/>
      <c r="DL208" s="41"/>
      <c r="DM208" s="41"/>
      <c r="DN208" s="41"/>
      <c r="DO208" s="41"/>
      <c r="DP208" s="41"/>
      <c r="DQ208" s="41"/>
      <c r="DR208" s="41"/>
      <c r="DS208" s="41"/>
      <c r="DT208" s="41"/>
      <c r="DU208" s="41"/>
      <c r="DV208" s="41"/>
      <c r="DW208" s="41"/>
      <c r="DX208" s="41"/>
      <c r="DY208" s="41"/>
      <c r="DZ208" s="41"/>
      <c r="EA208" s="41"/>
      <c r="EB208" s="41"/>
      <c r="EC208" s="41"/>
      <c r="ED208" s="41"/>
      <c r="EE208" s="41"/>
      <c r="EF208" s="41"/>
      <c r="EG208" s="41"/>
      <c r="EH208" s="41"/>
      <c r="EI208" s="41"/>
      <c r="EJ208" s="41"/>
      <c r="EK208" s="41"/>
      <c r="EL208" s="41"/>
      <c r="EM208" s="41"/>
      <c r="EN208" s="41"/>
      <c r="EO208" s="41"/>
      <c r="EP208" s="41"/>
      <c r="EQ208" s="41"/>
      <c r="ER208" s="41"/>
      <c r="ES208" s="41"/>
      <c r="ET208" s="41"/>
      <c r="EU208" s="41"/>
      <c r="EV208" s="41"/>
      <c r="EW208" s="41"/>
      <c r="EX208" s="41"/>
      <c r="EY208" s="41"/>
      <c r="EZ208" s="41"/>
      <c r="FA208" s="41"/>
      <c r="FB208" s="41"/>
      <c r="FC208" s="41"/>
      <c r="FD208" s="41"/>
      <c r="FE208" s="41"/>
      <c r="FF208" s="41"/>
      <c r="FG208" s="41"/>
      <c r="FH208" s="41"/>
      <c r="FI208" s="41"/>
      <c r="FJ208" s="41"/>
      <c r="FK208" s="41"/>
      <c r="FL208" s="41"/>
      <c r="FM208" s="41"/>
      <c r="FN208" s="41"/>
      <c r="FO208" s="41"/>
      <c r="FP208" s="41"/>
      <c r="FQ208" s="41"/>
      <c r="FR208" s="41"/>
      <c r="FS208" s="41"/>
      <c r="FT208" s="41"/>
      <c r="FU208" s="41"/>
      <c r="FV208" s="41"/>
      <c r="FW208" s="41"/>
      <c r="FX208" s="41"/>
      <c r="FY208" s="41"/>
      <c r="FZ208" s="41"/>
      <c r="GA208" s="41"/>
      <c r="GB208" s="41"/>
      <c r="GC208" s="41"/>
      <c r="GD208" s="41"/>
      <c r="GE208" s="41"/>
      <c r="GF208" s="41"/>
      <c r="GG208" s="41"/>
      <c r="GH208" s="41"/>
      <c r="GI208" s="41"/>
      <c r="GJ208" s="41"/>
      <c r="GK208" s="41"/>
      <c r="GL208" s="41"/>
      <c r="GM208" s="41"/>
      <c r="GN208" s="41"/>
      <c r="GO208" s="41"/>
      <c r="GP208" s="41"/>
      <c r="GQ208" s="41"/>
      <c r="GR208" s="41"/>
      <c r="GS208" s="41"/>
      <c r="GT208" s="41"/>
      <c r="GU208" s="41"/>
      <c r="GV208" s="41"/>
      <c r="GW208" s="41"/>
      <c r="GX208" s="41"/>
      <c r="GY208" s="41"/>
      <c r="GZ208" s="41"/>
      <c r="HA208" s="41"/>
      <c r="HB208" s="41"/>
      <c r="HC208" s="41"/>
      <c r="HD208" s="41"/>
      <c r="HE208" s="41"/>
      <c r="HF208" s="41"/>
      <c r="HG208" s="41"/>
      <c r="HH208" s="41"/>
      <c r="HI208" s="41"/>
      <c r="HJ208" s="41"/>
      <c r="HK208" s="41"/>
      <c r="HL208" s="41"/>
      <c r="HM208" s="41"/>
      <c r="HN208" s="41"/>
      <c r="HO208" s="41"/>
      <c r="HP208" s="41"/>
      <c r="HQ208" s="41"/>
      <c r="HR208" s="41"/>
      <c r="HS208" s="41"/>
      <c r="HT208" s="41"/>
      <c r="HU208" s="41"/>
      <c r="HV208" s="41"/>
      <c r="HW208" s="41"/>
      <c r="HX208" s="41"/>
      <c r="HY208" s="41"/>
      <c r="HZ208" s="41"/>
      <c r="IA208" s="41"/>
      <c r="IB208" s="41"/>
      <c r="IC208" s="41"/>
      <c r="ID208" s="41"/>
      <c r="IE208" s="41"/>
      <c r="IF208" s="41"/>
      <c r="IG208" s="41"/>
      <c r="IH208" s="41"/>
      <c r="II208" s="41"/>
      <c r="IJ208" s="41"/>
      <c r="IK208" s="41"/>
      <c r="IL208" s="41"/>
      <c r="IM208" s="41"/>
      <c r="IN208" s="41"/>
      <c r="IO208" s="41"/>
      <c r="IP208" s="41"/>
      <c r="IQ208" s="41"/>
      <c r="IR208" s="41"/>
      <c r="IS208" s="41"/>
      <c r="IT208" s="41"/>
      <c r="IU208" s="41"/>
    </row>
    <row r="209" spans="1:255" s="42" customFormat="1" ht="20.100000000000001" customHeight="1">
      <c r="A209" s="229"/>
      <c r="B209" s="230"/>
      <c r="C209" s="267"/>
      <c r="D209" s="267"/>
      <c r="E209" s="267"/>
      <c r="F209" s="267"/>
      <c r="G209" s="267"/>
      <c r="H209" s="282"/>
      <c r="I209" s="313"/>
      <c r="J209" s="229"/>
      <c r="K209" s="70">
        <v>2160</v>
      </c>
      <c r="L209" s="233"/>
      <c r="M209" s="234"/>
      <c r="N209" s="234"/>
      <c r="O209" s="234"/>
      <c r="P209" s="234"/>
      <c r="Q209" s="234"/>
      <c r="R209" s="234"/>
      <c r="S209" s="234"/>
      <c r="T209" s="57" t="s">
        <v>401</v>
      </c>
      <c r="U209" s="35"/>
      <c r="V209" s="175">
        <f>(24-12)*0.3</f>
        <v>3.5999999999999996</v>
      </c>
      <c r="W209" s="171" t="str">
        <f>'[1]bang gia'!$C$46</f>
        <v>đồng/cây</v>
      </c>
      <c r="X209" s="175">
        <v>4</v>
      </c>
      <c r="Y209" s="175">
        <v>4500000</v>
      </c>
      <c r="Z209" s="33"/>
      <c r="AA209" s="71">
        <v>0.3</v>
      </c>
      <c r="AB209" s="161">
        <f t="shared" si="9"/>
        <v>5400000</v>
      </c>
      <c r="AC209" s="235"/>
      <c r="AD209" s="235"/>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c r="DA209" s="41"/>
      <c r="DB209" s="41"/>
      <c r="DC209" s="41"/>
      <c r="DD209" s="41"/>
      <c r="DE209" s="41"/>
      <c r="DF209" s="41"/>
      <c r="DG209" s="41"/>
      <c r="DH209" s="41"/>
      <c r="DI209" s="41"/>
      <c r="DJ209" s="41"/>
      <c r="DK209" s="41"/>
      <c r="DL209" s="41"/>
      <c r="DM209" s="41"/>
      <c r="DN209" s="41"/>
      <c r="DO209" s="41"/>
      <c r="DP209" s="41"/>
      <c r="DQ209" s="41"/>
      <c r="DR209" s="41"/>
      <c r="DS209" s="41"/>
      <c r="DT209" s="41"/>
      <c r="DU209" s="41"/>
      <c r="DV209" s="41"/>
      <c r="DW209" s="41"/>
      <c r="DX209" s="41"/>
      <c r="DY209" s="41"/>
      <c r="DZ209" s="41"/>
      <c r="EA209" s="41"/>
      <c r="EB209" s="41"/>
      <c r="EC209" s="41"/>
      <c r="ED209" s="41"/>
      <c r="EE209" s="41"/>
      <c r="EF209" s="41"/>
      <c r="EG209" s="41"/>
      <c r="EH209" s="41"/>
      <c r="EI209" s="41"/>
      <c r="EJ209" s="41"/>
      <c r="EK209" s="41"/>
      <c r="EL209" s="41"/>
      <c r="EM209" s="41"/>
      <c r="EN209" s="41"/>
      <c r="EO209" s="41"/>
      <c r="EP209" s="41"/>
      <c r="EQ209" s="41"/>
      <c r="ER209" s="41"/>
      <c r="ES209" s="41"/>
      <c r="ET209" s="41"/>
      <c r="EU209" s="41"/>
      <c r="EV209" s="41"/>
      <c r="EW209" s="41"/>
      <c r="EX209" s="41"/>
      <c r="EY209" s="41"/>
      <c r="EZ209" s="41"/>
      <c r="FA209" s="41"/>
      <c r="FB209" s="41"/>
      <c r="FC209" s="41"/>
      <c r="FD209" s="41"/>
      <c r="FE209" s="41"/>
      <c r="FF209" s="41"/>
      <c r="FG209" s="41"/>
      <c r="FH209" s="41"/>
      <c r="FI209" s="41"/>
      <c r="FJ209" s="41"/>
      <c r="FK209" s="41"/>
      <c r="FL209" s="41"/>
      <c r="FM209" s="41"/>
      <c r="FN209" s="41"/>
      <c r="FO209" s="41"/>
      <c r="FP209" s="41"/>
      <c r="FQ209" s="41"/>
      <c r="FR209" s="41"/>
      <c r="FS209" s="41"/>
      <c r="FT209" s="41"/>
      <c r="FU209" s="41"/>
      <c r="FV209" s="41"/>
      <c r="FW209" s="41"/>
      <c r="FX209" s="41"/>
      <c r="FY209" s="41"/>
      <c r="FZ209" s="41"/>
      <c r="GA209" s="41"/>
      <c r="GB209" s="41"/>
      <c r="GC209" s="41"/>
      <c r="GD209" s="41"/>
      <c r="GE209" s="41"/>
      <c r="GF209" s="41"/>
      <c r="GG209" s="41"/>
      <c r="GH209" s="41"/>
      <c r="GI209" s="41"/>
      <c r="GJ209" s="41"/>
      <c r="GK209" s="41"/>
      <c r="GL209" s="41"/>
      <c r="GM209" s="41"/>
      <c r="GN209" s="41"/>
      <c r="GO209" s="41"/>
      <c r="GP209" s="41"/>
      <c r="GQ209" s="41"/>
      <c r="GR209" s="41"/>
      <c r="GS209" s="41"/>
      <c r="GT209" s="41"/>
      <c r="GU209" s="41"/>
      <c r="GV209" s="41"/>
      <c r="GW209" s="41"/>
      <c r="GX209" s="41"/>
      <c r="GY209" s="41"/>
      <c r="GZ209" s="41"/>
      <c r="HA209" s="41"/>
      <c r="HB209" s="41"/>
      <c r="HC209" s="41"/>
      <c r="HD209" s="41"/>
      <c r="HE209" s="41"/>
      <c r="HF209" s="41"/>
      <c r="HG209" s="41"/>
      <c r="HH209" s="41"/>
      <c r="HI209" s="41"/>
      <c r="HJ209" s="41"/>
      <c r="HK209" s="41"/>
      <c r="HL209" s="41"/>
      <c r="HM209" s="41"/>
      <c r="HN209" s="41"/>
      <c r="HO209" s="41"/>
      <c r="HP209" s="41"/>
      <c r="HQ209" s="41"/>
      <c r="HR209" s="41"/>
      <c r="HS209" s="41"/>
      <c r="HT209" s="41"/>
      <c r="HU209" s="41"/>
      <c r="HV209" s="41"/>
      <c r="HW209" s="41"/>
      <c r="HX209" s="41"/>
      <c r="HY209" s="41"/>
      <c r="HZ209" s="41"/>
      <c r="IA209" s="41"/>
      <c r="IB209" s="41"/>
      <c r="IC209" s="41"/>
      <c r="ID209" s="41"/>
      <c r="IE209" s="41"/>
      <c r="IF209" s="41"/>
      <c r="IG209" s="41"/>
      <c r="IH209" s="41"/>
      <c r="II209" s="41"/>
      <c r="IJ209" s="41"/>
      <c r="IK209" s="41"/>
      <c r="IL209" s="41"/>
      <c r="IM209" s="41"/>
      <c r="IN209" s="41"/>
      <c r="IO209" s="41"/>
      <c r="IP209" s="41"/>
      <c r="IQ209" s="41"/>
      <c r="IR209" s="41"/>
      <c r="IS209" s="41"/>
      <c r="IT209" s="41"/>
      <c r="IU209" s="41"/>
    </row>
    <row r="210" spans="1:255" s="42" customFormat="1" ht="20.100000000000001" customHeight="1">
      <c r="A210" s="229"/>
      <c r="B210" s="230"/>
      <c r="C210" s="267"/>
      <c r="D210" s="267"/>
      <c r="E210" s="267"/>
      <c r="F210" s="267"/>
      <c r="G210" s="267"/>
      <c r="H210" s="282"/>
      <c r="I210" s="313"/>
      <c r="J210" s="229"/>
      <c r="K210" s="70">
        <v>2160</v>
      </c>
      <c r="L210" s="233"/>
      <c r="M210" s="234"/>
      <c r="N210" s="234"/>
      <c r="O210" s="234"/>
      <c r="P210" s="234"/>
      <c r="Q210" s="234"/>
      <c r="R210" s="234"/>
      <c r="S210" s="234"/>
      <c r="T210" s="57" t="s">
        <v>402</v>
      </c>
      <c r="U210" s="35"/>
      <c r="V210" s="171"/>
      <c r="W210" s="171" t="str">
        <f>'[1]bang gia'!$C$46</f>
        <v>đồng/cây</v>
      </c>
      <c r="X210" s="175">
        <f>X207-X208-X209</f>
        <v>4</v>
      </c>
      <c r="Y210" s="175">
        <v>4500000</v>
      </c>
      <c r="Z210" s="33"/>
      <c r="AA210" s="71">
        <v>0</v>
      </c>
      <c r="AB210" s="161">
        <f t="shared" si="9"/>
        <v>0</v>
      </c>
      <c r="AC210" s="235"/>
      <c r="AD210" s="235"/>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c r="DA210" s="41"/>
      <c r="DB210" s="41"/>
      <c r="DC210" s="41"/>
      <c r="DD210" s="41"/>
      <c r="DE210" s="41"/>
      <c r="DF210" s="41"/>
      <c r="DG210" s="41"/>
      <c r="DH210" s="41"/>
      <c r="DI210" s="41"/>
      <c r="DJ210" s="41"/>
      <c r="DK210" s="41"/>
      <c r="DL210" s="41"/>
      <c r="DM210" s="41"/>
      <c r="DN210" s="41"/>
      <c r="DO210" s="41"/>
      <c r="DP210" s="41"/>
      <c r="DQ210" s="41"/>
      <c r="DR210" s="41"/>
      <c r="DS210" s="41"/>
      <c r="DT210" s="41"/>
      <c r="DU210" s="41"/>
      <c r="DV210" s="41"/>
      <c r="DW210" s="41"/>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1"/>
      <c r="EU210" s="41"/>
      <c r="EV210" s="41"/>
      <c r="EW210" s="41"/>
      <c r="EX210" s="41"/>
      <c r="EY210" s="41"/>
      <c r="EZ210" s="41"/>
      <c r="FA210" s="41"/>
      <c r="FB210" s="41"/>
      <c r="FC210" s="41"/>
      <c r="FD210" s="41"/>
      <c r="FE210" s="41"/>
      <c r="FF210" s="41"/>
      <c r="FG210" s="41"/>
      <c r="FH210" s="41"/>
      <c r="FI210" s="41"/>
      <c r="FJ210" s="41"/>
      <c r="FK210" s="41"/>
      <c r="FL210" s="41"/>
      <c r="FM210" s="41"/>
      <c r="FN210" s="41"/>
      <c r="FO210" s="41"/>
      <c r="FP210" s="41"/>
      <c r="FQ210" s="41"/>
      <c r="FR210" s="41"/>
      <c r="FS210" s="41"/>
      <c r="FT210" s="41"/>
      <c r="FU210" s="41"/>
      <c r="FV210" s="41"/>
      <c r="FW210" s="41"/>
      <c r="FX210" s="41"/>
      <c r="FY210" s="41"/>
      <c r="FZ210" s="41"/>
      <c r="GA210" s="41"/>
      <c r="GB210" s="41"/>
      <c r="GC210" s="41"/>
      <c r="GD210" s="41"/>
      <c r="GE210" s="41"/>
      <c r="GF210" s="41"/>
      <c r="GG210" s="41"/>
      <c r="GH210" s="41"/>
      <c r="GI210" s="41"/>
      <c r="GJ210" s="41"/>
      <c r="GK210" s="41"/>
      <c r="GL210" s="41"/>
      <c r="GM210" s="41"/>
      <c r="GN210" s="41"/>
      <c r="GO210" s="41"/>
      <c r="GP210" s="41"/>
      <c r="GQ210" s="41"/>
      <c r="GR210" s="41"/>
      <c r="GS210" s="41"/>
      <c r="GT210" s="41"/>
      <c r="GU210" s="41"/>
      <c r="GV210" s="41"/>
      <c r="GW210" s="41"/>
      <c r="GX210" s="41"/>
      <c r="GY210" s="41"/>
      <c r="GZ210" s="41"/>
      <c r="HA210" s="41"/>
      <c r="HB210" s="41"/>
      <c r="HC210" s="41"/>
      <c r="HD210" s="41"/>
      <c r="HE210" s="41"/>
      <c r="HF210" s="41"/>
      <c r="HG210" s="41"/>
      <c r="HH210" s="41"/>
      <c r="HI210" s="41"/>
      <c r="HJ210" s="41"/>
      <c r="HK210" s="41"/>
      <c r="HL210" s="41"/>
      <c r="HM210" s="41"/>
      <c r="HN210" s="41"/>
      <c r="HO210" s="41"/>
      <c r="HP210" s="41"/>
      <c r="HQ210" s="41"/>
      <c r="HR210" s="41"/>
      <c r="HS210" s="41"/>
      <c r="HT210" s="41"/>
      <c r="HU210" s="41"/>
      <c r="HV210" s="41"/>
      <c r="HW210" s="41"/>
      <c r="HX210" s="41"/>
      <c r="HY210" s="41"/>
      <c r="HZ210" s="41"/>
      <c r="IA210" s="41"/>
      <c r="IB210" s="41"/>
      <c r="IC210" s="41"/>
      <c r="ID210" s="41"/>
      <c r="IE210" s="41"/>
      <c r="IF210" s="41"/>
      <c r="IG210" s="41"/>
      <c r="IH210" s="41"/>
      <c r="II210" s="41"/>
      <c r="IJ210" s="41"/>
      <c r="IK210" s="41"/>
      <c r="IL210" s="41"/>
      <c r="IM210" s="41"/>
      <c r="IN210" s="41"/>
      <c r="IO210" s="41"/>
      <c r="IP210" s="41"/>
      <c r="IQ210" s="41"/>
      <c r="IR210" s="41"/>
      <c r="IS210" s="41"/>
      <c r="IT210" s="41"/>
      <c r="IU210" s="41"/>
    </row>
    <row r="211" spans="1:255" s="42" customFormat="1" ht="34.9" customHeight="1">
      <c r="A211" s="229"/>
      <c r="B211" s="230"/>
      <c r="C211" s="267"/>
      <c r="D211" s="267"/>
      <c r="E211" s="267"/>
      <c r="F211" s="267"/>
      <c r="G211" s="267"/>
      <c r="H211" s="282"/>
      <c r="I211" s="313"/>
      <c r="J211" s="229"/>
      <c r="K211" s="70">
        <v>2160</v>
      </c>
      <c r="L211" s="233"/>
      <c r="M211" s="234"/>
      <c r="N211" s="234"/>
      <c r="O211" s="234"/>
      <c r="P211" s="234"/>
      <c r="Q211" s="234"/>
      <c r="R211" s="234"/>
      <c r="S211" s="234"/>
      <c r="T211" s="59" t="s">
        <v>409</v>
      </c>
      <c r="U211" s="35"/>
      <c r="V211" s="171"/>
      <c r="W211" s="171" t="str">
        <f>'[1]bang gia'!$C$45</f>
        <v>đồng/cây</v>
      </c>
      <c r="X211" s="175">
        <v>4</v>
      </c>
      <c r="Y211" s="175"/>
      <c r="Z211" s="33"/>
      <c r="AA211" s="39"/>
      <c r="AB211" s="175"/>
      <c r="AC211" s="235"/>
      <c r="AD211" s="235"/>
    </row>
    <row r="212" spans="1:255" s="42" customFormat="1" ht="20.100000000000001" customHeight="1">
      <c r="A212" s="229"/>
      <c r="B212" s="230"/>
      <c r="C212" s="267"/>
      <c r="D212" s="267"/>
      <c r="E212" s="267"/>
      <c r="F212" s="267"/>
      <c r="G212" s="267"/>
      <c r="H212" s="282"/>
      <c r="I212" s="313"/>
      <c r="J212" s="229"/>
      <c r="K212" s="70">
        <v>2160</v>
      </c>
      <c r="L212" s="233"/>
      <c r="M212" s="234"/>
      <c r="N212" s="234"/>
      <c r="O212" s="234"/>
      <c r="P212" s="234"/>
      <c r="Q212" s="234"/>
      <c r="R212" s="234"/>
      <c r="S212" s="234"/>
      <c r="T212" s="57" t="s">
        <v>402</v>
      </c>
      <c r="U212" s="35"/>
      <c r="V212" s="171"/>
      <c r="W212" s="171" t="str">
        <f>'[1]bang gia'!$C$45</f>
        <v>đồng/cây</v>
      </c>
      <c r="X212" s="175">
        <v>4</v>
      </c>
      <c r="Y212" s="175">
        <v>3850000</v>
      </c>
      <c r="Z212" s="33"/>
      <c r="AA212" s="71">
        <v>0</v>
      </c>
      <c r="AB212" s="161">
        <f>X212*Y212*AA212</f>
        <v>0</v>
      </c>
      <c r="AC212" s="235"/>
      <c r="AD212" s="235"/>
    </row>
    <row r="213" spans="1:255" s="42" customFormat="1" ht="34.9" customHeight="1">
      <c r="A213" s="229"/>
      <c r="B213" s="230"/>
      <c r="C213" s="267"/>
      <c r="D213" s="267"/>
      <c r="E213" s="267"/>
      <c r="F213" s="267"/>
      <c r="G213" s="267"/>
      <c r="H213" s="282"/>
      <c r="I213" s="313"/>
      <c r="J213" s="229"/>
      <c r="K213" s="70">
        <v>2160</v>
      </c>
      <c r="L213" s="233"/>
      <c r="M213" s="234"/>
      <c r="N213" s="234"/>
      <c r="O213" s="234"/>
      <c r="P213" s="234"/>
      <c r="Q213" s="234"/>
      <c r="R213" s="234"/>
      <c r="S213" s="234"/>
      <c r="T213" s="43" t="s">
        <v>721</v>
      </c>
      <c r="U213" s="44">
        <v>25</v>
      </c>
      <c r="V213" s="170">
        <f>298.7/25*0.3</f>
        <v>3.5844</v>
      </c>
      <c r="W213" s="44" t="s">
        <v>2</v>
      </c>
      <c r="X213" s="175">
        <v>9</v>
      </c>
      <c r="Y213" s="175"/>
      <c r="Z213" s="33"/>
      <c r="AA213" s="71"/>
      <c r="AB213" s="161"/>
      <c r="AC213" s="235"/>
      <c r="AD213" s="235"/>
    </row>
    <row r="214" spans="1:255" s="42" customFormat="1" ht="20.100000000000001" customHeight="1">
      <c r="A214" s="229"/>
      <c r="B214" s="230"/>
      <c r="C214" s="267"/>
      <c r="D214" s="267"/>
      <c r="E214" s="267"/>
      <c r="F214" s="267"/>
      <c r="G214" s="267"/>
      <c r="H214" s="282"/>
      <c r="I214" s="313"/>
      <c r="J214" s="229"/>
      <c r="K214" s="70">
        <v>2160</v>
      </c>
      <c r="L214" s="233"/>
      <c r="M214" s="234"/>
      <c r="N214" s="234"/>
      <c r="O214" s="234"/>
      <c r="P214" s="234"/>
      <c r="Q214" s="234"/>
      <c r="R214" s="234"/>
      <c r="S214" s="234"/>
      <c r="T214" s="57" t="s">
        <v>399</v>
      </c>
      <c r="U214" s="35"/>
      <c r="V214" s="171"/>
      <c r="W214" s="44" t="s">
        <v>2</v>
      </c>
      <c r="X214" s="175">
        <v>4</v>
      </c>
      <c r="Y214" s="175">
        <v>600000</v>
      </c>
      <c r="Z214" s="33"/>
      <c r="AA214" s="71">
        <v>0.3</v>
      </c>
      <c r="AB214" s="161">
        <f>X214*Y214*AA214</f>
        <v>720000</v>
      </c>
      <c r="AC214" s="235"/>
      <c r="AD214" s="235"/>
    </row>
    <row r="215" spans="1:255" s="42" customFormat="1" ht="20.100000000000001" customHeight="1">
      <c r="A215" s="229"/>
      <c r="B215" s="230"/>
      <c r="C215" s="267"/>
      <c r="D215" s="267"/>
      <c r="E215" s="267"/>
      <c r="F215" s="267"/>
      <c r="G215" s="267"/>
      <c r="H215" s="282"/>
      <c r="I215" s="313"/>
      <c r="J215" s="229"/>
      <c r="K215" s="70">
        <v>2160</v>
      </c>
      <c r="L215" s="233"/>
      <c r="M215" s="234"/>
      <c r="N215" s="234"/>
      <c r="O215" s="234"/>
      <c r="P215" s="234"/>
      <c r="Q215" s="234"/>
      <c r="R215" s="234"/>
      <c r="S215" s="234"/>
      <c r="T215" s="57" t="s">
        <v>417</v>
      </c>
      <c r="U215" s="35"/>
      <c r="V215" s="171"/>
      <c r="W215" s="44" t="s">
        <v>2</v>
      </c>
      <c r="X215" s="175">
        <v>5</v>
      </c>
      <c r="Y215" s="175">
        <v>600000</v>
      </c>
      <c r="Z215" s="33"/>
      <c r="AA215" s="71">
        <v>0</v>
      </c>
      <c r="AB215" s="161">
        <f>X215*Y215*AA215</f>
        <v>0</v>
      </c>
      <c r="AC215" s="235"/>
      <c r="AD215" s="235"/>
    </row>
    <row r="216" spans="1:255" s="42" customFormat="1" ht="21.75" customHeight="1">
      <c r="A216" s="229"/>
      <c r="B216" s="230"/>
      <c r="C216" s="267"/>
      <c r="D216" s="267"/>
      <c r="E216" s="267"/>
      <c r="F216" s="267"/>
      <c r="G216" s="267"/>
      <c r="H216" s="282"/>
      <c r="I216" s="313"/>
      <c r="J216" s="229"/>
      <c r="K216" s="70">
        <v>2160</v>
      </c>
      <c r="L216" s="233"/>
      <c r="M216" s="234"/>
      <c r="N216" s="234"/>
      <c r="O216" s="234"/>
      <c r="P216" s="234"/>
      <c r="Q216" s="234"/>
      <c r="R216" s="234"/>
      <c r="S216" s="234"/>
      <c r="T216" s="43" t="s">
        <v>618</v>
      </c>
      <c r="U216" s="35"/>
      <c r="V216" s="171"/>
      <c r="W216" s="171" t="str">
        <f>'[1]bang gia'!$C$45</f>
        <v>đồng/cây</v>
      </c>
      <c r="X216" s="175">
        <v>20</v>
      </c>
      <c r="Y216" s="175"/>
      <c r="Z216" s="33"/>
      <c r="AA216" s="71"/>
      <c r="AB216" s="161"/>
      <c r="AC216" s="235"/>
      <c r="AD216" s="235"/>
    </row>
    <row r="217" spans="1:255" s="42" customFormat="1" ht="21" customHeight="1">
      <c r="A217" s="229"/>
      <c r="B217" s="230"/>
      <c r="C217" s="267"/>
      <c r="D217" s="267"/>
      <c r="E217" s="267"/>
      <c r="F217" s="267"/>
      <c r="G217" s="267"/>
      <c r="H217" s="282"/>
      <c r="I217" s="313"/>
      <c r="J217" s="229"/>
      <c r="K217" s="70">
        <v>2160</v>
      </c>
      <c r="L217" s="233"/>
      <c r="M217" s="234"/>
      <c r="N217" s="234"/>
      <c r="O217" s="234"/>
      <c r="P217" s="234"/>
      <c r="Q217" s="234"/>
      <c r="R217" s="234"/>
      <c r="S217" s="234"/>
      <c r="T217" s="57" t="s">
        <v>417</v>
      </c>
      <c r="U217" s="35"/>
      <c r="V217" s="171"/>
      <c r="W217" s="171" t="str">
        <f>'[1]bang gia'!$C$45</f>
        <v>đồng/cây</v>
      </c>
      <c r="X217" s="175">
        <v>20</v>
      </c>
      <c r="Y217" s="175">
        <v>200000</v>
      </c>
      <c r="Z217" s="33"/>
      <c r="AA217" s="71">
        <v>0</v>
      </c>
      <c r="AB217" s="161">
        <f>X217*Y217*AA217</f>
        <v>0</v>
      </c>
      <c r="AC217" s="235"/>
      <c r="AD217" s="235"/>
    </row>
    <row r="218" spans="1:255" s="42" customFormat="1" ht="21" customHeight="1">
      <c r="A218" s="229"/>
      <c r="B218" s="230"/>
      <c r="C218" s="267"/>
      <c r="D218" s="267"/>
      <c r="E218" s="267"/>
      <c r="F218" s="267"/>
      <c r="G218" s="267"/>
      <c r="H218" s="282"/>
      <c r="I218" s="313"/>
      <c r="J218" s="229"/>
      <c r="K218" s="70">
        <v>2160</v>
      </c>
      <c r="L218" s="233"/>
      <c r="M218" s="234"/>
      <c r="N218" s="234"/>
      <c r="O218" s="234"/>
      <c r="P218" s="234"/>
      <c r="Q218" s="234"/>
      <c r="R218" s="234"/>
      <c r="S218" s="234"/>
      <c r="T218" s="43" t="s">
        <v>722</v>
      </c>
      <c r="U218" s="44"/>
      <c r="V218" s="171"/>
      <c r="W218" s="44" t="s">
        <v>2</v>
      </c>
      <c r="X218" s="175">
        <v>15</v>
      </c>
      <c r="Y218" s="175"/>
      <c r="Z218" s="33"/>
      <c r="AA218" s="39"/>
      <c r="AB218" s="175"/>
      <c r="AC218" s="235"/>
      <c r="AD218" s="235"/>
    </row>
    <row r="219" spans="1:255" s="42" customFormat="1" ht="21" customHeight="1">
      <c r="A219" s="229"/>
      <c r="B219" s="230"/>
      <c r="C219" s="267"/>
      <c r="D219" s="267"/>
      <c r="E219" s="267"/>
      <c r="F219" s="267"/>
      <c r="G219" s="267"/>
      <c r="H219" s="282"/>
      <c r="I219" s="313"/>
      <c r="J219" s="229"/>
      <c r="K219" s="70">
        <v>2160</v>
      </c>
      <c r="L219" s="233"/>
      <c r="M219" s="234"/>
      <c r="N219" s="234"/>
      <c r="O219" s="234"/>
      <c r="P219" s="234"/>
      <c r="Q219" s="234"/>
      <c r="R219" s="234"/>
      <c r="S219" s="234"/>
      <c r="T219" s="57" t="s">
        <v>417</v>
      </c>
      <c r="U219" s="44"/>
      <c r="V219" s="171"/>
      <c r="W219" s="44" t="s">
        <v>2</v>
      </c>
      <c r="X219" s="175">
        <v>15</v>
      </c>
      <c r="Y219" s="175">
        <v>150000</v>
      </c>
      <c r="Z219" s="33"/>
      <c r="AA219" s="71">
        <v>0</v>
      </c>
      <c r="AB219" s="161">
        <f>X219*Y219*AA219</f>
        <v>0</v>
      </c>
      <c r="AC219" s="235"/>
      <c r="AD219" s="235"/>
    </row>
    <row r="220" spans="1:255" s="42" customFormat="1" ht="21" customHeight="1">
      <c r="A220" s="229"/>
      <c r="B220" s="230"/>
      <c r="C220" s="267"/>
      <c r="D220" s="267"/>
      <c r="E220" s="267"/>
      <c r="F220" s="267"/>
      <c r="G220" s="267"/>
      <c r="H220" s="282"/>
      <c r="I220" s="313"/>
      <c r="J220" s="229"/>
      <c r="K220" s="70">
        <v>2160</v>
      </c>
      <c r="L220" s="233"/>
      <c r="M220" s="234"/>
      <c r="N220" s="234"/>
      <c r="O220" s="234"/>
      <c r="P220" s="234"/>
      <c r="Q220" s="234"/>
      <c r="R220" s="234"/>
      <c r="S220" s="234"/>
      <c r="T220" s="49" t="s">
        <v>428</v>
      </c>
      <c r="U220" s="35"/>
      <c r="V220" s="35"/>
      <c r="W220" s="35" t="s">
        <v>395</v>
      </c>
      <c r="X220" s="40">
        <v>1</v>
      </c>
      <c r="Y220" s="40" t="str">
        <f>IFERROR(VLOOKUP(V220,'[1]bang gia'!$B$1:$D$206,3,FALSE),"-")</f>
        <v>-</v>
      </c>
      <c r="Z220" s="33"/>
      <c r="AA220" s="39"/>
      <c r="AB220" s="175"/>
      <c r="AC220" s="235"/>
      <c r="AD220" s="235"/>
    </row>
    <row r="221" spans="1:255" s="42" customFormat="1" ht="34.15" customHeight="1">
      <c r="A221" s="229">
        <v>18</v>
      </c>
      <c r="B221" s="231" t="s">
        <v>620</v>
      </c>
      <c r="C221" s="267">
        <v>64</v>
      </c>
      <c r="D221" s="267">
        <v>509</v>
      </c>
      <c r="E221" s="268">
        <v>349.9</v>
      </c>
      <c r="F221" s="268" t="s">
        <v>26</v>
      </c>
      <c r="G221" s="232">
        <v>540</v>
      </c>
      <c r="H221" s="232"/>
      <c r="I221" s="307">
        <v>349.9</v>
      </c>
      <c r="J221" s="232">
        <v>1620</v>
      </c>
      <c r="K221" s="33"/>
      <c r="L221" s="233">
        <f>I221/J221*100</f>
        <v>21.598765432098762</v>
      </c>
      <c r="M221" s="234">
        <f>IF(L221&lt;10,2,IF(L221&lt;20,3,IF(L221&lt;30,5,IF(L221&gt;=70,12,IF(L221&gt;=30,6)))))</f>
        <v>5</v>
      </c>
      <c r="N221" s="234">
        <v>5</v>
      </c>
      <c r="O221" s="234">
        <f>$O$7</f>
        <v>80000</v>
      </c>
      <c r="P221" s="234">
        <f>I221*O221</f>
        <v>27992000</v>
      </c>
      <c r="Q221" s="234">
        <f>$Q$7*I221</f>
        <v>83976000</v>
      </c>
      <c r="R221" s="234">
        <f>M221*N221*$R$7</f>
        <v>12750000</v>
      </c>
      <c r="S221" s="234">
        <f>R221+Q221+P221</f>
        <v>124718000</v>
      </c>
      <c r="T221" s="43" t="s">
        <v>410</v>
      </c>
      <c r="U221" s="35">
        <v>25</v>
      </c>
      <c r="V221" s="170">
        <f>I221/25</f>
        <v>13.995999999999999</v>
      </c>
      <c r="W221" s="171" t="str">
        <f>'[1]bang gia'!$C$46</f>
        <v>đồng/cây</v>
      </c>
      <c r="X221" s="175">
        <v>3</v>
      </c>
      <c r="Y221" s="45"/>
      <c r="Z221" s="33"/>
      <c r="AA221" s="39"/>
      <c r="AB221" s="40"/>
      <c r="AC221" s="235">
        <f>SUM(AB221:AB236)</f>
        <v>59059200</v>
      </c>
      <c r="AD221" s="235">
        <f>AC221+S221</f>
        <v>183777200</v>
      </c>
      <c r="AE221" s="281" t="s">
        <v>492</v>
      </c>
    </row>
    <row r="222" spans="1:255" s="42" customFormat="1" ht="20.100000000000001" customHeight="1">
      <c r="A222" s="229"/>
      <c r="B222" s="231"/>
      <c r="C222" s="267"/>
      <c r="D222" s="267"/>
      <c r="E222" s="268"/>
      <c r="F222" s="268"/>
      <c r="G222" s="232"/>
      <c r="H222" s="232"/>
      <c r="I222" s="307"/>
      <c r="J222" s="232"/>
      <c r="K222" s="33"/>
      <c r="L222" s="233"/>
      <c r="M222" s="234"/>
      <c r="N222" s="234"/>
      <c r="O222" s="234"/>
      <c r="P222" s="234"/>
      <c r="Q222" s="234"/>
      <c r="R222" s="234"/>
      <c r="S222" s="234"/>
      <c r="T222" s="57" t="s">
        <v>399</v>
      </c>
      <c r="U222" s="35"/>
      <c r="V222" s="171"/>
      <c r="W222" s="171" t="str">
        <f>'[1]bang gia'!$C$46</f>
        <v>đồng/cây</v>
      </c>
      <c r="X222" s="175">
        <v>3</v>
      </c>
      <c r="Y222" s="45">
        <v>4500000</v>
      </c>
      <c r="Z222" s="33"/>
      <c r="AA222" s="39">
        <v>1</v>
      </c>
      <c r="AB222" s="40">
        <f t="shared" ref="AB222:AB228" si="10">X222*Y222*AA222</f>
        <v>13500000</v>
      </c>
      <c r="AC222" s="235"/>
      <c r="AD222" s="235"/>
      <c r="AE222" s="281"/>
    </row>
    <row r="223" spans="1:255" s="42" customFormat="1" ht="34.15" customHeight="1">
      <c r="A223" s="229"/>
      <c r="B223" s="231"/>
      <c r="C223" s="267"/>
      <c r="D223" s="267"/>
      <c r="E223" s="268"/>
      <c r="F223" s="268"/>
      <c r="G223" s="232"/>
      <c r="H223" s="232"/>
      <c r="I223" s="307"/>
      <c r="J223" s="232"/>
      <c r="K223" s="33"/>
      <c r="L223" s="233"/>
      <c r="M223" s="234"/>
      <c r="N223" s="234"/>
      <c r="O223" s="234"/>
      <c r="P223" s="234"/>
      <c r="Q223" s="234"/>
      <c r="R223" s="234"/>
      <c r="S223" s="234"/>
      <c r="T223" s="43" t="s">
        <v>703</v>
      </c>
      <c r="U223" s="44"/>
      <c r="V223" s="171"/>
      <c r="W223" s="171" t="str">
        <f>'[1]bang gia'!$C$45</f>
        <v>đồng/cây</v>
      </c>
      <c r="X223" s="175">
        <v>10</v>
      </c>
      <c r="Y223" s="175"/>
      <c r="Z223" s="33"/>
      <c r="AA223" s="39"/>
      <c r="AB223" s="40"/>
      <c r="AC223" s="235"/>
      <c r="AD223" s="235"/>
      <c r="AE223" s="281"/>
    </row>
    <row r="224" spans="1:255" s="42" customFormat="1" ht="20.100000000000001" customHeight="1">
      <c r="A224" s="229"/>
      <c r="B224" s="231"/>
      <c r="C224" s="267"/>
      <c r="D224" s="267"/>
      <c r="E224" s="268"/>
      <c r="F224" s="268"/>
      <c r="G224" s="232"/>
      <c r="H224" s="232"/>
      <c r="I224" s="307"/>
      <c r="J224" s="232"/>
      <c r="K224" s="33"/>
      <c r="L224" s="233"/>
      <c r="M224" s="234"/>
      <c r="N224" s="234"/>
      <c r="O224" s="234"/>
      <c r="P224" s="234"/>
      <c r="Q224" s="234"/>
      <c r="R224" s="234"/>
      <c r="S224" s="234"/>
      <c r="T224" s="57" t="s">
        <v>399</v>
      </c>
      <c r="U224" s="44"/>
      <c r="V224" s="171"/>
      <c r="W224" s="171" t="str">
        <f>'[1]bang gia'!$C$45</f>
        <v>đồng/cây</v>
      </c>
      <c r="X224" s="175">
        <v>10</v>
      </c>
      <c r="Y224" s="175">
        <v>3750000</v>
      </c>
      <c r="Z224" s="33"/>
      <c r="AA224" s="39">
        <v>1</v>
      </c>
      <c r="AB224" s="40">
        <f t="shared" si="10"/>
        <v>37500000</v>
      </c>
      <c r="AC224" s="235"/>
      <c r="AD224" s="235"/>
    </row>
    <row r="225" spans="1:31" s="42" customFormat="1" ht="35.25" customHeight="1">
      <c r="A225" s="229"/>
      <c r="B225" s="231"/>
      <c r="C225" s="267"/>
      <c r="D225" s="267"/>
      <c r="E225" s="268"/>
      <c r="F225" s="268"/>
      <c r="G225" s="232"/>
      <c r="H225" s="232"/>
      <c r="I225" s="307"/>
      <c r="J225" s="232"/>
      <c r="K225" s="33"/>
      <c r="L225" s="233"/>
      <c r="M225" s="234"/>
      <c r="N225" s="234"/>
      <c r="O225" s="234"/>
      <c r="P225" s="234"/>
      <c r="Q225" s="234"/>
      <c r="R225" s="234"/>
      <c r="S225" s="234"/>
      <c r="T225" s="49" t="s">
        <v>723</v>
      </c>
      <c r="U225" s="35"/>
      <c r="V225" s="171"/>
      <c r="W225" s="171" t="str">
        <f>'[1]bang gia'!$C$43</f>
        <v>đồng/cây</v>
      </c>
      <c r="X225" s="175">
        <v>9</v>
      </c>
      <c r="Y225" s="175"/>
      <c r="Z225" s="33"/>
      <c r="AA225" s="39"/>
      <c r="AB225" s="40"/>
      <c r="AC225" s="235"/>
      <c r="AD225" s="235"/>
    </row>
    <row r="226" spans="1:31" s="42" customFormat="1" ht="20.100000000000001" customHeight="1">
      <c r="A226" s="229"/>
      <c r="B226" s="231"/>
      <c r="C226" s="267"/>
      <c r="D226" s="267"/>
      <c r="E226" s="268"/>
      <c r="F226" s="268"/>
      <c r="G226" s="232"/>
      <c r="H226" s="232"/>
      <c r="I226" s="307"/>
      <c r="J226" s="232"/>
      <c r="K226" s="33"/>
      <c r="L226" s="233"/>
      <c r="M226" s="234"/>
      <c r="N226" s="234"/>
      <c r="O226" s="234"/>
      <c r="P226" s="234"/>
      <c r="Q226" s="234"/>
      <c r="R226" s="234"/>
      <c r="S226" s="234"/>
      <c r="T226" s="57" t="s">
        <v>399</v>
      </c>
      <c r="U226" s="35"/>
      <c r="V226" s="171"/>
      <c r="W226" s="171" t="str">
        <f>'[1]bang gia'!$C$43</f>
        <v>đồng/cây</v>
      </c>
      <c r="X226" s="175">
        <f>V221-X222-X224</f>
        <v>0.99599999999999866</v>
      </c>
      <c r="Y226" s="175">
        <v>2700000</v>
      </c>
      <c r="Z226" s="33"/>
      <c r="AA226" s="39">
        <v>1</v>
      </c>
      <c r="AB226" s="40">
        <f t="shared" si="10"/>
        <v>2689199.9999999963</v>
      </c>
      <c r="AC226" s="235"/>
      <c r="AD226" s="235"/>
    </row>
    <row r="227" spans="1:31" s="42" customFormat="1" ht="20.100000000000001" customHeight="1">
      <c r="A227" s="229"/>
      <c r="B227" s="231"/>
      <c r="C227" s="267"/>
      <c r="D227" s="267"/>
      <c r="E227" s="268"/>
      <c r="F227" s="268"/>
      <c r="G227" s="232"/>
      <c r="H227" s="232"/>
      <c r="I227" s="307"/>
      <c r="J227" s="232"/>
      <c r="K227" s="33"/>
      <c r="L227" s="233"/>
      <c r="M227" s="234"/>
      <c r="N227" s="234"/>
      <c r="O227" s="234"/>
      <c r="P227" s="234"/>
      <c r="Q227" s="234"/>
      <c r="R227" s="234"/>
      <c r="S227" s="234"/>
      <c r="T227" s="57" t="s">
        <v>401</v>
      </c>
      <c r="U227" s="35"/>
      <c r="V227" s="171">
        <f>8*0.3</f>
        <v>2.4</v>
      </c>
      <c r="W227" s="171" t="str">
        <f>'[1]bang gia'!$C$43</f>
        <v>đồng/cây</v>
      </c>
      <c r="X227" s="175">
        <v>2</v>
      </c>
      <c r="Y227" s="175">
        <v>2700000</v>
      </c>
      <c r="Z227" s="33"/>
      <c r="AA227" s="51">
        <v>0.3</v>
      </c>
      <c r="AB227" s="40">
        <f t="shared" si="10"/>
        <v>1620000</v>
      </c>
      <c r="AC227" s="235"/>
      <c r="AD227" s="235"/>
    </row>
    <row r="228" spans="1:31" s="42" customFormat="1" ht="20.100000000000001" customHeight="1">
      <c r="A228" s="229"/>
      <c r="B228" s="231"/>
      <c r="C228" s="267"/>
      <c r="D228" s="267"/>
      <c r="E228" s="268"/>
      <c r="F228" s="268"/>
      <c r="G228" s="232"/>
      <c r="H228" s="232"/>
      <c r="I228" s="307"/>
      <c r="J228" s="232"/>
      <c r="K228" s="33"/>
      <c r="L228" s="233"/>
      <c r="M228" s="234"/>
      <c r="N228" s="234"/>
      <c r="O228" s="234"/>
      <c r="P228" s="234"/>
      <c r="Q228" s="234"/>
      <c r="R228" s="234"/>
      <c r="S228" s="234"/>
      <c r="T228" s="57" t="s">
        <v>402</v>
      </c>
      <c r="U228" s="35"/>
      <c r="V228" s="171"/>
      <c r="W228" s="171" t="str">
        <f>'[1]bang gia'!$C$43</f>
        <v>đồng/cây</v>
      </c>
      <c r="X228" s="175">
        <f>X225-X226*X227</f>
        <v>7.0080000000000027</v>
      </c>
      <c r="Y228" s="175">
        <v>2700000</v>
      </c>
      <c r="Z228" s="33"/>
      <c r="AA228" s="51">
        <v>0</v>
      </c>
      <c r="AB228" s="40">
        <f t="shared" si="10"/>
        <v>0</v>
      </c>
      <c r="AC228" s="235"/>
      <c r="AD228" s="235"/>
    </row>
    <row r="229" spans="1:31" s="42" customFormat="1" ht="38.25" customHeight="1">
      <c r="A229" s="229"/>
      <c r="B229" s="231"/>
      <c r="C229" s="267"/>
      <c r="D229" s="267"/>
      <c r="E229" s="268"/>
      <c r="F229" s="268"/>
      <c r="G229" s="232"/>
      <c r="H229" s="232"/>
      <c r="I229" s="307"/>
      <c r="J229" s="232"/>
      <c r="K229" s="33"/>
      <c r="L229" s="233"/>
      <c r="M229" s="234"/>
      <c r="N229" s="234"/>
      <c r="O229" s="234"/>
      <c r="P229" s="234"/>
      <c r="Q229" s="234"/>
      <c r="R229" s="234"/>
      <c r="S229" s="234"/>
      <c r="T229" s="49" t="s">
        <v>622</v>
      </c>
      <c r="U229" s="35">
        <v>20</v>
      </c>
      <c r="V229" s="170">
        <f>I221/20*0.3</f>
        <v>5.2484999999999991</v>
      </c>
      <c r="W229" s="171" t="str">
        <f>'[1]bang gia'!$C$51</f>
        <v>đồng/cây</v>
      </c>
      <c r="X229" s="175">
        <v>9</v>
      </c>
      <c r="Y229" s="175"/>
      <c r="Z229" s="33"/>
      <c r="AA229" s="39"/>
      <c r="AB229" s="40"/>
      <c r="AC229" s="235"/>
      <c r="AD229" s="235"/>
    </row>
    <row r="230" spans="1:31" s="42" customFormat="1" ht="20.100000000000001" customHeight="1">
      <c r="A230" s="229"/>
      <c r="B230" s="231"/>
      <c r="C230" s="267"/>
      <c r="D230" s="267"/>
      <c r="E230" s="268"/>
      <c r="F230" s="268"/>
      <c r="G230" s="232"/>
      <c r="H230" s="232"/>
      <c r="I230" s="307"/>
      <c r="J230" s="232"/>
      <c r="K230" s="33"/>
      <c r="L230" s="233"/>
      <c r="M230" s="234"/>
      <c r="N230" s="234"/>
      <c r="O230" s="234"/>
      <c r="P230" s="234"/>
      <c r="Q230" s="234"/>
      <c r="R230" s="234"/>
      <c r="S230" s="234"/>
      <c r="T230" s="57" t="s">
        <v>399</v>
      </c>
      <c r="U230" s="35"/>
      <c r="V230" s="170"/>
      <c r="W230" s="171" t="str">
        <f>'[1]bang gia'!$C$51</f>
        <v>đồng/cây</v>
      </c>
      <c r="X230" s="175">
        <v>5</v>
      </c>
      <c r="Y230" s="175">
        <v>2500000</v>
      </c>
      <c r="Z230" s="33"/>
      <c r="AA230" s="51">
        <v>0.3</v>
      </c>
      <c r="AB230" s="40">
        <f>X230*Y230*AA230</f>
        <v>3750000</v>
      </c>
      <c r="AC230" s="235"/>
      <c r="AD230" s="235"/>
    </row>
    <row r="231" spans="1:31" s="42" customFormat="1" ht="20.100000000000001" customHeight="1">
      <c r="A231" s="229"/>
      <c r="B231" s="231"/>
      <c r="C231" s="267"/>
      <c r="D231" s="267"/>
      <c r="E231" s="268"/>
      <c r="F231" s="268"/>
      <c r="G231" s="232"/>
      <c r="H231" s="232"/>
      <c r="I231" s="307"/>
      <c r="J231" s="232"/>
      <c r="K231" s="33"/>
      <c r="L231" s="233"/>
      <c r="M231" s="234"/>
      <c r="N231" s="234"/>
      <c r="O231" s="234"/>
      <c r="P231" s="234"/>
      <c r="Q231" s="234"/>
      <c r="R231" s="234"/>
      <c r="S231" s="234"/>
      <c r="T231" s="57" t="s">
        <v>417</v>
      </c>
      <c r="U231" s="35"/>
      <c r="V231" s="170"/>
      <c r="W231" s="171" t="str">
        <f>'[1]bang gia'!$C$51</f>
        <v>đồng/cây</v>
      </c>
      <c r="X231" s="175">
        <f>X229-X230</f>
        <v>4</v>
      </c>
      <c r="Y231" s="175">
        <v>2500000</v>
      </c>
      <c r="Z231" s="33"/>
      <c r="AA231" s="51">
        <v>0</v>
      </c>
      <c r="AB231" s="40">
        <f>X231*Y231*AA231</f>
        <v>0</v>
      </c>
      <c r="AC231" s="235"/>
      <c r="AD231" s="235"/>
    </row>
    <row r="232" spans="1:31" s="42" customFormat="1" ht="34.15" customHeight="1">
      <c r="A232" s="229"/>
      <c r="B232" s="231"/>
      <c r="C232" s="267"/>
      <c r="D232" s="267"/>
      <c r="E232" s="268"/>
      <c r="F232" s="268"/>
      <c r="G232" s="232"/>
      <c r="H232" s="232"/>
      <c r="I232" s="307"/>
      <c r="J232" s="232"/>
      <c r="K232" s="33"/>
      <c r="L232" s="233"/>
      <c r="M232" s="234"/>
      <c r="N232" s="234"/>
      <c r="O232" s="234"/>
      <c r="P232" s="234"/>
      <c r="Q232" s="234"/>
      <c r="R232" s="234"/>
      <c r="S232" s="234"/>
      <c r="T232" s="43" t="s">
        <v>724</v>
      </c>
      <c r="U232" s="44"/>
      <c r="V232" s="171"/>
      <c r="W232" s="171" t="str">
        <f>'[1]bang gia'!$C$51</f>
        <v>đồng/cây</v>
      </c>
      <c r="X232" s="175">
        <v>20</v>
      </c>
      <c r="Y232" s="175">
        <v>1800000</v>
      </c>
      <c r="Z232" s="33"/>
      <c r="AA232" s="51">
        <v>0</v>
      </c>
      <c r="AB232" s="40">
        <f>X232*Y232*AA232</f>
        <v>0</v>
      </c>
      <c r="AC232" s="235"/>
      <c r="AD232" s="235"/>
    </row>
    <row r="233" spans="1:31" s="42" customFormat="1" ht="20.100000000000001" customHeight="1">
      <c r="A233" s="229"/>
      <c r="B233" s="231"/>
      <c r="C233" s="267"/>
      <c r="D233" s="267"/>
      <c r="E233" s="268"/>
      <c r="F233" s="268"/>
      <c r="G233" s="232"/>
      <c r="H233" s="232"/>
      <c r="I233" s="307"/>
      <c r="J233" s="232"/>
      <c r="K233" s="33"/>
      <c r="L233" s="233"/>
      <c r="M233" s="234"/>
      <c r="N233" s="234"/>
      <c r="O233" s="234"/>
      <c r="P233" s="234"/>
      <c r="Q233" s="234"/>
      <c r="R233" s="234"/>
      <c r="S233" s="234"/>
      <c r="T233" s="43" t="s">
        <v>690</v>
      </c>
      <c r="U233" s="44"/>
      <c r="V233" s="171"/>
      <c r="W233" s="171" t="str">
        <f>'[1]bang gia'!$C$51</f>
        <v>đồng/cây</v>
      </c>
      <c r="X233" s="175">
        <v>11</v>
      </c>
      <c r="Y233" s="175"/>
      <c r="Z233" s="33"/>
      <c r="AA233" s="51">
        <v>0</v>
      </c>
      <c r="AB233" s="40">
        <f>X233*Y233*AA233</f>
        <v>0</v>
      </c>
      <c r="AC233" s="235"/>
      <c r="AD233" s="235"/>
    </row>
    <row r="234" spans="1:31" s="42" customFormat="1" ht="20.100000000000001" customHeight="1">
      <c r="A234" s="229"/>
      <c r="B234" s="231"/>
      <c r="C234" s="267"/>
      <c r="D234" s="267"/>
      <c r="E234" s="268"/>
      <c r="F234" s="268"/>
      <c r="G234" s="232"/>
      <c r="H234" s="232"/>
      <c r="I234" s="307"/>
      <c r="J234" s="232"/>
      <c r="K234" s="33"/>
      <c r="L234" s="233"/>
      <c r="M234" s="234"/>
      <c r="N234" s="234"/>
      <c r="O234" s="234"/>
      <c r="P234" s="234"/>
      <c r="Q234" s="234"/>
      <c r="R234" s="234"/>
      <c r="S234" s="234"/>
      <c r="T234" s="49" t="s">
        <v>725</v>
      </c>
      <c r="U234" s="35"/>
      <c r="V234" s="171"/>
      <c r="W234" s="171"/>
      <c r="X234" s="175" t="s">
        <v>626</v>
      </c>
      <c r="Y234" s="175"/>
      <c r="Z234" s="33"/>
      <c r="AA234" s="39"/>
      <c r="AB234" s="175"/>
      <c r="AC234" s="235"/>
      <c r="AD234" s="235"/>
    </row>
    <row r="235" spans="1:31" s="42" customFormat="1" ht="20.100000000000001" customHeight="1">
      <c r="A235" s="229"/>
      <c r="B235" s="231"/>
      <c r="C235" s="267"/>
      <c r="D235" s="267"/>
      <c r="E235" s="268"/>
      <c r="F235" s="268"/>
      <c r="G235" s="232"/>
      <c r="H235" s="232"/>
      <c r="I235" s="307"/>
      <c r="J235" s="232"/>
      <c r="K235" s="33"/>
      <c r="L235" s="233"/>
      <c r="M235" s="234"/>
      <c r="N235" s="234"/>
      <c r="O235" s="234"/>
      <c r="P235" s="234"/>
      <c r="Q235" s="234"/>
      <c r="R235" s="234"/>
      <c r="S235" s="234"/>
      <c r="T235" s="49" t="s">
        <v>627</v>
      </c>
      <c r="U235" s="35"/>
      <c r="V235" s="171"/>
      <c r="W235" s="171" t="s">
        <v>501</v>
      </c>
      <c r="X235" s="50">
        <v>1.08</v>
      </c>
      <c r="Y235" s="175"/>
      <c r="Z235" s="33"/>
      <c r="AA235" s="39"/>
      <c r="AB235" s="175"/>
      <c r="AC235" s="235"/>
      <c r="AD235" s="235"/>
    </row>
    <row r="236" spans="1:31" s="42" customFormat="1" ht="20.100000000000001" customHeight="1">
      <c r="A236" s="229"/>
      <c r="B236" s="231"/>
      <c r="C236" s="267"/>
      <c r="D236" s="267"/>
      <c r="E236" s="268"/>
      <c r="F236" s="268"/>
      <c r="G236" s="232"/>
      <c r="H236" s="232"/>
      <c r="I236" s="307"/>
      <c r="J236" s="232"/>
      <c r="K236" s="33"/>
      <c r="L236" s="233"/>
      <c r="M236" s="234"/>
      <c r="N236" s="234"/>
      <c r="O236" s="234"/>
      <c r="P236" s="234"/>
      <c r="Q236" s="234"/>
      <c r="R236" s="234"/>
      <c r="S236" s="234"/>
      <c r="T236" s="49" t="s">
        <v>628</v>
      </c>
      <c r="U236" s="35"/>
      <c r="V236" s="35"/>
      <c r="W236" s="35" t="s">
        <v>395</v>
      </c>
      <c r="X236" s="40">
        <v>1</v>
      </c>
      <c r="Y236" s="175"/>
      <c r="Z236" s="33"/>
      <c r="AA236" s="39"/>
      <c r="AB236" s="175"/>
      <c r="AC236" s="235"/>
      <c r="AD236" s="235"/>
    </row>
    <row r="237" spans="1:31" s="42" customFormat="1" ht="36.75" customHeight="1">
      <c r="A237" s="229">
        <v>19</v>
      </c>
      <c r="B237" s="230" t="s">
        <v>629</v>
      </c>
      <c r="C237" s="267">
        <v>64</v>
      </c>
      <c r="D237" s="267">
        <v>337</v>
      </c>
      <c r="E237" s="268">
        <v>384.4</v>
      </c>
      <c r="F237" s="268" t="s">
        <v>393</v>
      </c>
      <c r="G237" s="232">
        <v>360</v>
      </c>
      <c r="H237" s="232">
        <f>E237-G237</f>
        <v>24.399999999999977</v>
      </c>
      <c r="I237" s="307">
        <v>360</v>
      </c>
      <c r="J237" s="232">
        <v>360</v>
      </c>
      <c r="K237" s="33"/>
      <c r="L237" s="233">
        <f>I237/J237*100</f>
        <v>100</v>
      </c>
      <c r="M237" s="234">
        <f>IF(L237&lt;10,2,IF(L237&lt;20,3,IF(L237&lt;30,5,IF(L237&gt;=70,12,IF(L237&gt;=30,6)))))</f>
        <v>12</v>
      </c>
      <c r="N237" s="234">
        <v>4</v>
      </c>
      <c r="O237" s="234">
        <f>$O$7</f>
        <v>80000</v>
      </c>
      <c r="P237" s="234">
        <f>I237*O237</f>
        <v>28800000</v>
      </c>
      <c r="Q237" s="234">
        <f>$Q$7*I237</f>
        <v>86400000</v>
      </c>
      <c r="R237" s="234">
        <f>M237*N237*$R$7</f>
        <v>24480000</v>
      </c>
      <c r="S237" s="234">
        <f>R237+Q237+P237</f>
        <v>139680000</v>
      </c>
      <c r="T237" s="34" t="s">
        <v>702</v>
      </c>
      <c r="U237" s="35"/>
      <c r="V237" s="171"/>
      <c r="W237" s="37" t="s">
        <v>0</v>
      </c>
      <c r="X237" s="175">
        <v>290</v>
      </c>
      <c r="Y237" s="175">
        <v>97000</v>
      </c>
      <c r="Z237" s="33"/>
      <c r="AA237" s="39">
        <v>1</v>
      </c>
      <c r="AB237" s="40">
        <f>X237*Y237*AA237</f>
        <v>28130000</v>
      </c>
      <c r="AC237" s="235">
        <f>SUM(AB237:AB242)</f>
        <v>42380000</v>
      </c>
      <c r="AD237" s="235">
        <f>AC237+S237</f>
        <v>182060000</v>
      </c>
    </row>
    <row r="238" spans="1:31" s="42" customFormat="1" ht="36" customHeight="1">
      <c r="A238" s="229"/>
      <c r="B238" s="230"/>
      <c r="C238" s="267"/>
      <c r="D238" s="267"/>
      <c r="E238" s="268"/>
      <c r="F238" s="268"/>
      <c r="G238" s="232"/>
      <c r="H238" s="232"/>
      <c r="I238" s="307"/>
      <c r="J238" s="232"/>
      <c r="K238" s="33"/>
      <c r="L238" s="233"/>
      <c r="M238" s="234"/>
      <c r="N238" s="234"/>
      <c r="O238" s="234"/>
      <c r="P238" s="234"/>
      <c r="Q238" s="234"/>
      <c r="R238" s="234"/>
      <c r="S238" s="234"/>
      <c r="T238" s="49" t="s">
        <v>691</v>
      </c>
      <c r="U238" s="35">
        <f>25</f>
        <v>25</v>
      </c>
      <c r="V238" s="171">
        <f>70/U238</f>
        <v>2.8</v>
      </c>
      <c r="W238" s="171" t="str">
        <f>'[1]bang gia'!$C$46</f>
        <v>đồng/cây</v>
      </c>
      <c r="X238" s="175">
        <v>3</v>
      </c>
      <c r="Y238" s="175"/>
      <c r="Z238" s="33"/>
      <c r="AA238" s="39"/>
      <c r="AB238" s="40"/>
      <c r="AC238" s="235"/>
      <c r="AD238" s="235"/>
      <c r="AE238" s="42" t="s">
        <v>630</v>
      </c>
    </row>
    <row r="239" spans="1:31" s="42" customFormat="1" ht="27" customHeight="1">
      <c r="A239" s="229"/>
      <c r="B239" s="230"/>
      <c r="C239" s="267"/>
      <c r="D239" s="267"/>
      <c r="E239" s="268"/>
      <c r="F239" s="268"/>
      <c r="G239" s="232"/>
      <c r="H239" s="232"/>
      <c r="I239" s="307"/>
      <c r="J239" s="232"/>
      <c r="K239" s="33"/>
      <c r="L239" s="233"/>
      <c r="M239" s="234"/>
      <c r="N239" s="234"/>
      <c r="O239" s="234"/>
      <c r="P239" s="234"/>
      <c r="Q239" s="234"/>
      <c r="R239" s="234"/>
      <c r="S239" s="234"/>
      <c r="T239" s="57" t="s">
        <v>399</v>
      </c>
      <c r="U239" s="35"/>
      <c r="V239" s="171"/>
      <c r="W239" s="171" t="str">
        <f>'[1]bang gia'!$C$46</f>
        <v>đồng/cây</v>
      </c>
      <c r="X239" s="175">
        <v>3</v>
      </c>
      <c r="Y239" s="175">
        <v>4500000</v>
      </c>
      <c r="Z239" s="33"/>
      <c r="AA239" s="39">
        <v>1</v>
      </c>
      <c r="AB239" s="40">
        <f>X239*Y239*AA239</f>
        <v>13500000</v>
      </c>
      <c r="AC239" s="235"/>
      <c r="AD239" s="235"/>
    </row>
    <row r="240" spans="1:31" s="42" customFormat="1" ht="37.5" customHeight="1">
      <c r="A240" s="229"/>
      <c r="B240" s="230"/>
      <c r="C240" s="267"/>
      <c r="D240" s="267"/>
      <c r="E240" s="268"/>
      <c r="F240" s="268"/>
      <c r="G240" s="232"/>
      <c r="H240" s="232"/>
      <c r="I240" s="307"/>
      <c r="J240" s="232"/>
      <c r="K240" s="33"/>
      <c r="L240" s="233"/>
      <c r="M240" s="234"/>
      <c r="N240" s="234"/>
      <c r="O240" s="234"/>
      <c r="P240" s="234"/>
      <c r="Q240" s="234"/>
      <c r="R240" s="234"/>
      <c r="S240" s="234"/>
      <c r="T240" s="43" t="s">
        <v>631</v>
      </c>
      <c r="U240" s="35">
        <v>20</v>
      </c>
      <c r="V240" s="171">
        <f>70/U240</f>
        <v>3.5</v>
      </c>
      <c r="W240" s="171" t="str">
        <f>'[1]bang gia'!$C$46</f>
        <v>đồng/cây</v>
      </c>
      <c r="X240" s="175">
        <v>1</v>
      </c>
      <c r="Y240" s="175"/>
      <c r="Z240" s="33"/>
      <c r="AA240" s="39"/>
      <c r="AB240" s="40"/>
      <c r="AC240" s="235"/>
      <c r="AD240" s="235"/>
    </row>
    <row r="241" spans="1:31" s="42" customFormat="1" ht="27" customHeight="1">
      <c r="A241" s="229"/>
      <c r="B241" s="230"/>
      <c r="C241" s="267"/>
      <c r="D241" s="267"/>
      <c r="E241" s="268"/>
      <c r="F241" s="268"/>
      <c r="G241" s="232"/>
      <c r="H241" s="232"/>
      <c r="I241" s="307"/>
      <c r="J241" s="232"/>
      <c r="K241" s="33"/>
      <c r="L241" s="233"/>
      <c r="M241" s="234"/>
      <c r="N241" s="234"/>
      <c r="O241" s="234"/>
      <c r="P241" s="234"/>
      <c r="Q241" s="234"/>
      <c r="R241" s="234"/>
      <c r="S241" s="234"/>
      <c r="T241" s="57" t="s">
        <v>399</v>
      </c>
      <c r="U241" s="35"/>
      <c r="V241" s="171"/>
      <c r="W241" s="171" t="str">
        <f>'[1]bang gia'!$C$46</f>
        <v>đồng/cây</v>
      </c>
      <c r="X241" s="175">
        <v>1</v>
      </c>
      <c r="Y241" s="45">
        <v>2500000</v>
      </c>
      <c r="Z241" s="63"/>
      <c r="AA241" s="181">
        <v>0.3</v>
      </c>
      <c r="AB241" s="161">
        <f>X241*Y241*AA241</f>
        <v>750000</v>
      </c>
      <c r="AC241" s="235"/>
      <c r="AD241" s="235"/>
    </row>
    <row r="242" spans="1:31" s="42" customFormat="1" ht="24" customHeight="1">
      <c r="A242" s="229"/>
      <c r="B242" s="230"/>
      <c r="C242" s="267"/>
      <c r="D242" s="267"/>
      <c r="E242" s="268"/>
      <c r="F242" s="268"/>
      <c r="G242" s="232"/>
      <c r="H242" s="232"/>
      <c r="I242" s="307"/>
      <c r="J242" s="232"/>
      <c r="K242" s="33"/>
      <c r="L242" s="233"/>
      <c r="M242" s="234"/>
      <c r="N242" s="234"/>
      <c r="O242" s="234"/>
      <c r="P242" s="234"/>
      <c r="Q242" s="234"/>
      <c r="R242" s="234"/>
      <c r="S242" s="234"/>
      <c r="T242" s="49" t="s">
        <v>632</v>
      </c>
      <c r="U242" s="35"/>
      <c r="V242" s="171"/>
      <c r="W242" s="171" t="s">
        <v>7</v>
      </c>
      <c r="X242" s="175"/>
      <c r="Y242" s="175"/>
      <c r="Z242" s="33"/>
      <c r="AA242" s="39"/>
      <c r="AB242" s="40"/>
      <c r="AC242" s="235"/>
      <c r="AD242" s="235"/>
    </row>
    <row r="243" spans="1:31" s="42" customFormat="1" ht="36" customHeight="1">
      <c r="A243" s="229">
        <v>20</v>
      </c>
      <c r="B243" s="267" t="s">
        <v>633</v>
      </c>
      <c r="C243" s="267">
        <v>64</v>
      </c>
      <c r="D243" s="267">
        <v>797</v>
      </c>
      <c r="E243" s="268">
        <v>383.9</v>
      </c>
      <c r="F243" s="268" t="s">
        <v>393</v>
      </c>
      <c r="G243" s="232">
        <v>360</v>
      </c>
      <c r="H243" s="232">
        <v>36.9</v>
      </c>
      <c r="I243" s="307">
        <v>360</v>
      </c>
      <c r="J243" s="232">
        <v>360</v>
      </c>
      <c r="K243" s="33"/>
      <c r="L243" s="233">
        <f>I243/J243*100</f>
        <v>100</v>
      </c>
      <c r="M243" s="234">
        <f>IF(L243&lt;10,2,IF(L243&lt;20,3,IF(L243&lt;30,5,IF(L243&gt;=70,12,IF(L243&gt;=30,6)))))</f>
        <v>12</v>
      </c>
      <c r="N243" s="234">
        <v>1</v>
      </c>
      <c r="O243" s="234">
        <f>$O$7</f>
        <v>80000</v>
      </c>
      <c r="P243" s="234">
        <f>I243*O243</f>
        <v>28800000</v>
      </c>
      <c r="Q243" s="234">
        <f>$Q$7*I243</f>
        <v>86400000</v>
      </c>
      <c r="R243" s="234">
        <f>M243*N243*$R$7</f>
        <v>6120000</v>
      </c>
      <c r="S243" s="234">
        <f>R243+Q243+P243</f>
        <v>121320000</v>
      </c>
      <c r="T243" s="34" t="s">
        <v>702</v>
      </c>
      <c r="U243" s="35"/>
      <c r="V243" s="171"/>
      <c r="W243" s="37" t="s">
        <v>0</v>
      </c>
      <c r="X243" s="180">
        <v>135</v>
      </c>
      <c r="Y243" s="175">
        <v>97000</v>
      </c>
      <c r="Z243" s="33"/>
      <c r="AA243" s="39">
        <v>1</v>
      </c>
      <c r="AB243" s="40">
        <f>X243*Y243*AA243</f>
        <v>13095000</v>
      </c>
      <c r="AC243" s="235">
        <f>SUM(AB243:AB253)</f>
        <v>52450000</v>
      </c>
      <c r="AD243" s="235">
        <f>AC243+S243</f>
        <v>173770000</v>
      </c>
      <c r="AE243" s="42" t="s">
        <v>407</v>
      </c>
    </row>
    <row r="244" spans="1:31" s="42" customFormat="1" ht="36" customHeight="1">
      <c r="A244" s="229"/>
      <c r="B244" s="267"/>
      <c r="C244" s="267"/>
      <c r="D244" s="267"/>
      <c r="E244" s="268"/>
      <c r="F244" s="268"/>
      <c r="G244" s="232"/>
      <c r="H244" s="232"/>
      <c r="I244" s="307"/>
      <c r="J244" s="232"/>
      <c r="K244" s="33"/>
      <c r="L244" s="233"/>
      <c r="M244" s="234"/>
      <c r="N244" s="234"/>
      <c r="O244" s="234"/>
      <c r="P244" s="234"/>
      <c r="Q244" s="234"/>
      <c r="R244" s="234"/>
      <c r="S244" s="234"/>
      <c r="T244" s="49" t="s">
        <v>634</v>
      </c>
      <c r="U244" s="35">
        <v>25</v>
      </c>
      <c r="V244" s="170">
        <f>(G243-X243)/25</f>
        <v>9</v>
      </c>
      <c r="W244" s="171" t="str">
        <f>'[1]bang gia'!$C$46</f>
        <v>đồng/cây</v>
      </c>
      <c r="X244" s="175">
        <v>2</v>
      </c>
      <c r="Y244" s="175"/>
      <c r="Z244" s="33"/>
      <c r="AA244" s="39"/>
      <c r="AB244" s="175"/>
      <c r="AC244" s="235"/>
      <c r="AD244" s="235"/>
    </row>
    <row r="245" spans="1:31" s="42" customFormat="1" ht="21" customHeight="1">
      <c r="A245" s="229"/>
      <c r="B245" s="267"/>
      <c r="C245" s="267"/>
      <c r="D245" s="267"/>
      <c r="E245" s="268"/>
      <c r="F245" s="268"/>
      <c r="G245" s="232"/>
      <c r="H245" s="232"/>
      <c r="I245" s="307"/>
      <c r="J245" s="232"/>
      <c r="K245" s="33"/>
      <c r="L245" s="233"/>
      <c r="M245" s="234"/>
      <c r="N245" s="234"/>
      <c r="O245" s="234"/>
      <c r="P245" s="234"/>
      <c r="Q245" s="234"/>
      <c r="R245" s="234"/>
      <c r="S245" s="234"/>
      <c r="T245" s="57" t="s">
        <v>399</v>
      </c>
      <c r="U245" s="35"/>
      <c r="V245" s="171"/>
      <c r="W245" s="171" t="str">
        <f>'[1]bang gia'!$C$46</f>
        <v>đồng/cây</v>
      </c>
      <c r="X245" s="175">
        <v>2</v>
      </c>
      <c r="Y245" s="175">
        <v>4500000</v>
      </c>
      <c r="Z245" s="33"/>
      <c r="AA245" s="39">
        <v>1</v>
      </c>
      <c r="AB245" s="40">
        <f>X245*Y245*AA245</f>
        <v>9000000</v>
      </c>
      <c r="AC245" s="235"/>
      <c r="AD245" s="235"/>
    </row>
    <row r="246" spans="1:31" s="42" customFormat="1" ht="39" customHeight="1">
      <c r="A246" s="229"/>
      <c r="B246" s="267"/>
      <c r="C246" s="267"/>
      <c r="D246" s="267"/>
      <c r="E246" s="268"/>
      <c r="F246" s="268"/>
      <c r="G246" s="232"/>
      <c r="H246" s="232"/>
      <c r="I246" s="307"/>
      <c r="J246" s="232"/>
      <c r="K246" s="33"/>
      <c r="L246" s="233"/>
      <c r="M246" s="234"/>
      <c r="N246" s="234"/>
      <c r="O246" s="234"/>
      <c r="P246" s="234"/>
      <c r="Q246" s="234"/>
      <c r="R246" s="234"/>
      <c r="S246" s="234"/>
      <c r="T246" s="57" t="s">
        <v>635</v>
      </c>
      <c r="U246" s="35"/>
      <c r="V246" s="171"/>
      <c r="W246" s="171" t="str">
        <f>'[1]bang gia'!$C$46</f>
        <v>đồng/cây</v>
      </c>
      <c r="X246" s="175">
        <v>10</v>
      </c>
      <c r="Y246" s="175"/>
      <c r="Z246" s="33"/>
      <c r="AA246" s="39"/>
      <c r="AB246" s="40"/>
      <c r="AC246" s="235"/>
      <c r="AD246" s="235"/>
    </row>
    <row r="247" spans="1:31" s="42" customFormat="1" ht="24" customHeight="1">
      <c r="A247" s="229"/>
      <c r="B247" s="267"/>
      <c r="C247" s="267"/>
      <c r="D247" s="267"/>
      <c r="E247" s="268"/>
      <c r="F247" s="268"/>
      <c r="G247" s="232"/>
      <c r="H247" s="232"/>
      <c r="I247" s="307"/>
      <c r="J247" s="232"/>
      <c r="K247" s="33"/>
      <c r="L247" s="233"/>
      <c r="M247" s="234"/>
      <c r="N247" s="234"/>
      <c r="O247" s="234"/>
      <c r="P247" s="234"/>
      <c r="Q247" s="234"/>
      <c r="R247" s="234"/>
      <c r="S247" s="234"/>
      <c r="T247" s="57" t="s">
        <v>399</v>
      </c>
      <c r="U247" s="35"/>
      <c r="V247" s="171"/>
      <c r="W247" s="171" t="str">
        <f>'[1]bang gia'!$C$46</f>
        <v>đồng/cây</v>
      </c>
      <c r="X247" s="175">
        <v>7</v>
      </c>
      <c r="Y247" s="175">
        <v>3850000</v>
      </c>
      <c r="Z247" s="33"/>
      <c r="AA247" s="39">
        <v>1</v>
      </c>
      <c r="AB247" s="40">
        <f>X247*Y247*AA247</f>
        <v>26950000</v>
      </c>
      <c r="AC247" s="235"/>
      <c r="AD247" s="235"/>
    </row>
    <row r="248" spans="1:31" s="42" customFormat="1" ht="24" customHeight="1">
      <c r="A248" s="229"/>
      <c r="B248" s="267"/>
      <c r="C248" s="267"/>
      <c r="D248" s="267"/>
      <c r="E248" s="268"/>
      <c r="F248" s="268"/>
      <c r="G248" s="232"/>
      <c r="H248" s="232"/>
      <c r="I248" s="307"/>
      <c r="J248" s="232"/>
      <c r="K248" s="33"/>
      <c r="L248" s="233"/>
      <c r="M248" s="234"/>
      <c r="N248" s="234"/>
      <c r="O248" s="234"/>
      <c r="P248" s="234"/>
      <c r="Q248" s="234"/>
      <c r="R248" s="234"/>
      <c r="S248" s="234"/>
      <c r="T248" s="57" t="s">
        <v>401</v>
      </c>
      <c r="U248" s="35"/>
      <c r="V248" s="171">
        <f>3*0.3</f>
        <v>0.89999999999999991</v>
      </c>
      <c r="W248" s="171" t="str">
        <f>'[1]bang gia'!$C$46</f>
        <v>đồng/cây</v>
      </c>
      <c r="X248" s="175">
        <v>1</v>
      </c>
      <c r="Y248" s="175">
        <v>3850000</v>
      </c>
      <c r="Z248" s="33"/>
      <c r="AA248" s="51">
        <v>0.3</v>
      </c>
      <c r="AB248" s="40">
        <f>X248*Y248*AA248</f>
        <v>1155000</v>
      </c>
      <c r="AC248" s="235"/>
      <c r="AD248" s="235"/>
    </row>
    <row r="249" spans="1:31" s="42" customFormat="1" ht="24" customHeight="1">
      <c r="A249" s="229"/>
      <c r="B249" s="267"/>
      <c r="C249" s="267"/>
      <c r="D249" s="267"/>
      <c r="E249" s="268"/>
      <c r="F249" s="268"/>
      <c r="G249" s="232"/>
      <c r="H249" s="232"/>
      <c r="I249" s="307"/>
      <c r="J249" s="232"/>
      <c r="K249" s="33"/>
      <c r="L249" s="233"/>
      <c r="M249" s="234"/>
      <c r="N249" s="234"/>
      <c r="O249" s="234"/>
      <c r="P249" s="234"/>
      <c r="Q249" s="234"/>
      <c r="R249" s="234"/>
      <c r="S249" s="234"/>
      <c r="T249" s="57" t="s">
        <v>402</v>
      </c>
      <c r="U249" s="35"/>
      <c r="V249" s="171"/>
      <c r="W249" s="171" t="str">
        <f>'[1]bang gia'!$C$46</f>
        <v>đồng/cây</v>
      </c>
      <c r="X249" s="175">
        <v>2</v>
      </c>
      <c r="Y249" s="175">
        <v>3850000</v>
      </c>
      <c r="Z249" s="33"/>
      <c r="AA249" s="51">
        <v>0</v>
      </c>
      <c r="AB249" s="40">
        <f>X249*Y249*AA249</f>
        <v>0</v>
      </c>
      <c r="AC249" s="235"/>
      <c r="AD249" s="235"/>
    </row>
    <row r="250" spans="1:31" s="42" customFormat="1" ht="39.75" customHeight="1">
      <c r="A250" s="229"/>
      <c r="B250" s="267"/>
      <c r="C250" s="267"/>
      <c r="D250" s="267"/>
      <c r="E250" s="268"/>
      <c r="F250" s="268"/>
      <c r="G250" s="232"/>
      <c r="H250" s="232"/>
      <c r="I250" s="307"/>
      <c r="J250" s="232"/>
      <c r="K250" s="33"/>
      <c r="L250" s="233"/>
      <c r="M250" s="234"/>
      <c r="N250" s="234"/>
      <c r="O250" s="234"/>
      <c r="P250" s="234"/>
      <c r="Q250" s="234"/>
      <c r="R250" s="234"/>
      <c r="S250" s="234"/>
      <c r="T250" s="43" t="s">
        <v>622</v>
      </c>
      <c r="U250" s="44">
        <v>20</v>
      </c>
      <c r="V250" s="170">
        <f>(G243-X243)/20*0.3</f>
        <v>3.375</v>
      </c>
      <c r="W250" s="171" t="str">
        <f>'[1]bang gia'!$C$46</f>
        <v>đồng/cây</v>
      </c>
      <c r="X250" s="40">
        <v>4</v>
      </c>
      <c r="Y250" s="45"/>
      <c r="Z250" s="33"/>
      <c r="AA250" s="39"/>
      <c r="AB250" s="40"/>
      <c r="AC250" s="235"/>
      <c r="AD250" s="235"/>
    </row>
    <row r="251" spans="1:31" s="42" customFormat="1" ht="25.5" customHeight="1">
      <c r="A251" s="229"/>
      <c r="B251" s="267"/>
      <c r="C251" s="267"/>
      <c r="D251" s="267"/>
      <c r="E251" s="268"/>
      <c r="F251" s="268"/>
      <c r="G251" s="232"/>
      <c r="H251" s="232"/>
      <c r="I251" s="307"/>
      <c r="J251" s="232"/>
      <c r="K251" s="33"/>
      <c r="L251" s="233"/>
      <c r="M251" s="234"/>
      <c r="N251" s="234"/>
      <c r="O251" s="234"/>
      <c r="P251" s="234"/>
      <c r="Q251" s="234"/>
      <c r="R251" s="234"/>
      <c r="S251" s="234"/>
      <c r="T251" s="57" t="s">
        <v>399</v>
      </c>
      <c r="U251" s="44"/>
      <c r="V251" s="171"/>
      <c r="W251" s="171" t="str">
        <f>'[1]bang gia'!$C$46</f>
        <v>đồng/cây</v>
      </c>
      <c r="X251" s="40">
        <v>3</v>
      </c>
      <c r="Y251" s="45">
        <v>2500000</v>
      </c>
      <c r="Z251" s="33"/>
      <c r="AA251" s="39">
        <v>0.3</v>
      </c>
      <c r="AB251" s="40">
        <f>X251*Y251*AA251</f>
        <v>2250000</v>
      </c>
      <c r="AC251" s="235"/>
      <c r="AD251" s="235"/>
    </row>
    <row r="252" spans="1:31" s="42" customFormat="1" ht="25.5" customHeight="1">
      <c r="A252" s="229"/>
      <c r="B252" s="267"/>
      <c r="C252" s="267"/>
      <c r="D252" s="267"/>
      <c r="E252" s="268"/>
      <c r="F252" s="268"/>
      <c r="G252" s="232"/>
      <c r="H252" s="232"/>
      <c r="I252" s="307"/>
      <c r="J252" s="232"/>
      <c r="K252" s="33"/>
      <c r="L252" s="233"/>
      <c r="M252" s="234"/>
      <c r="N252" s="234"/>
      <c r="O252" s="234"/>
      <c r="P252" s="234"/>
      <c r="Q252" s="234"/>
      <c r="R252" s="234"/>
      <c r="S252" s="234"/>
      <c r="T252" s="57" t="s">
        <v>417</v>
      </c>
      <c r="U252" s="44"/>
      <c r="V252" s="171"/>
      <c r="W252" s="171" t="str">
        <f>'[1]bang gia'!$C$46</f>
        <v>đồng/cây</v>
      </c>
      <c r="X252" s="40">
        <v>1</v>
      </c>
      <c r="Y252" s="45">
        <v>2500000</v>
      </c>
      <c r="Z252" s="33"/>
      <c r="AA252" s="51">
        <v>0</v>
      </c>
      <c r="AB252" s="40">
        <f>X252*Y252*AA252</f>
        <v>0</v>
      </c>
      <c r="AC252" s="235"/>
      <c r="AD252" s="235"/>
    </row>
    <row r="253" spans="1:31" s="42" customFormat="1" ht="24.75" customHeight="1">
      <c r="A253" s="229"/>
      <c r="B253" s="267"/>
      <c r="C253" s="267"/>
      <c r="D253" s="267"/>
      <c r="E253" s="268"/>
      <c r="F253" s="268"/>
      <c r="G253" s="232"/>
      <c r="H253" s="232"/>
      <c r="I253" s="307"/>
      <c r="J253" s="232"/>
      <c r="K253" s="33"/>
      <c r="L253" s="233"/>
      <c r="M253" s="234"/>
      <c r="N253" s="234"/>
      <c r="O253" s="234"/>
      <c r="P253" s="234"/>
      <c r="Q253" s="234"/>
      <c r="R253" s="234"/>
      <c r="S253" s="234"/>
      <c r="T253" s="49" t="s">
        <v>636</v>
      </c>
      <c r="U253" s="44"/>
      <c r="V253" s="171"/>
      <c r="W253" s="171" t="s">
        <v>7</v>
      </c>
      <c r="X253" s="40"/>
      <c r="Y253" s="45"/>
      <c r="Z253" s="33"/>
      <c r="AA253" s="51">
        <v>0</v>
      </c>
      <c r="AB253" s="40">
        <f>X253*Y253*AA253</f>
        <v>0</v>
      </c>
      <c r="AC253" s="235"/>
      <c r="AD253" s="235"/>
    </row>
    <row r="254" spans="1:31" s="42" customFormat="1" ht="42" customHeight="1">
      <c r="A254" s="229">
        <v>21</v>
      </c>
      <c r="B254" s="230" t="s">
        <v>637</v>
      </c>
      <c r="C254" s="267">
        <v>64</v>
      </c>
      <c r="D254" s="267">
        <v>340</v>
      </c>
      <c r="E254" s="268">
        <v>768.8</v>
      </c>
      <c r="F254" s="268" t="s">
        <v>393</v>
      </c>
      <c r="G254" s="232">
        <v>720</v>
      </c>
      <c r="H254" s="232">
        <f>E254-G254</f>
        <v>48.799999999999955</v>
      </c>
      <c r="I254" s="307">
        <v>720</v>
      </c>
      <c r="J254" s="232">
        <v>720</v>
      </c>
      <c r="K254" s="33"/>
      <c r="L254" s="233">
        <f>I254/J254*100</f>
        <v>100</v>
      </c>
      <c r="M254" s="234">
        <f>IF(L254&lt;10,2,IF(L254&lt;20,3,IF(L254&lt;30,5,IF(L254&gt;=70,12,IF(L254&gt;=30,6)))))</f>
        <v>12</v>
      </c>
      <c r="N254" s="234">
        <v>7</v>
      </c>
      <c r="O254" s="234">
        <f>$O$7</f>
        <v>80000</v>
      </c>
      <c r="P254" s="234">
        <f>I254*O254</f>
        <v>57600000</v>
      </c>
      <c r="Q254" s="234">
        <f>$Q$7*I254</f>
        <v>172800000</v>
      </c>
      <c r="R254" s="234">
        <f>M254*N254*$R$7</f>
        <v>42840000</v>
      </c>
      <c r="S254" s="234">
        <f>R254+Q254+P254</f>
        <v>273240000</v>
      </c>
      <c r="T254" s="34" t="s">
        <v>702</v>
      </c>
      <c r="U254" s="35"/>
      <c r="V254" s="171"/>
      <c r="W254" s="37" t="s">
        <v>0</v>
      </c>
      <c r="X254" s="180">
        <v>650</v>
      </c>
      <c r="Y254" s="175">
        <v>97000</v>
      </c>
      <c r="Z254" s="33"/>
      <c r="AA254" s="39">
        <v>1</v>
      </c>
      <c r="AB254" s="40">
        <f>X254*Y254*AA254</f>
        <v>63050000</v>
      </c>
      <c r="AC254" s="235">
        <f>SUM(AB254:AB260)</f>
        <v>77050000</v>
      </c>
      <c r="AD254" s="235">
        <f>AC254+S254</f>
        <v>350290000</v>
      </c>
      <c r="AE254" s="42" t="s">
        <v>590</v>
      </c>
    </row>
    <row r="255" spans="1:31" s="42" customFormat="1" ht="43.5" customHeight="1">
      <c r="A255" s="229"/>
      <c r="B255" s="230"/>
      <c r="C255" s="267"/>
      <c r="D255" s="267"/>
      <c r="E255" s="268"/>
      <c r="F255" s="268"/>
      <c r="G255" s="232"/>
      <c r="H255" s="232"/>
      <c r="I255" s="307"/>
      <c r="J255" s="232"/>
      <c r="K255" s="33"/>
      <c r="L255" s="233"/>
      <c r="M255" s="234"/>
      <c r="N255" s="234"/>
      <c r="O255" s="234"/>
      <c r="P255" s="234"/>
      <c r="Q255" s="234"/>
      <c r="R255" s="234"/>
      <c r="S255" s="234"/>
      <c r="T255" s="49" t="s">
        <v>691</v>
      </c>
      <c r="U255" s="35">
        <v>25</v>
      </c>
      <c r="V255" s="170">
        <f>(G254-X254)/25</f>
        <v>2.8</v>
      </c>
      <c r="W255" s="171" t="str">
        <f>'[1]bang gia'!$C$46</f>
        <v>đồng/cây</v>
      </c>
      <c r="X255" s="175">
        <v>2</v>
      </c>
      <c r="Y255" s="175"/>
      <c r="Z255" s="33"/>
      <c r="AA255" s="39"/>
      <c r="AB255" s="40"/>
      <c r="AC255" s="235"/>
      <c r="AD255" s="235"/>
    </row>
    <row r="256" spans="1:31" s="42" customFormat="1" ht="20.25" customHeight="1">
      <c r="A256" s="229"/>
      <c r="B256" s="230"/>
      <c r="C256" s="267"/>
      <c r="D256" s="267"/>
      <c r="E256" s="268"/>
      <c r="F256" s="268"/>
      <c r="G256" s="232"/>
      <c r="H256" s="232"/>
      <c r="I256" s="307"/>
      <c r="J256" s="232"/>
      <c r="K256" s="33"/>
      <c r="L256" s="233"/>
      <c r="M256" s="234"/>
      <c r="N256" s="234"/>
      <c r="O256" s="234"/>
      <c r="P256" s="234"/>
      <c r="Q256" s="234"/>
      <c r="R256" s="234"/>
      <c r="S256" s="234"/>
      <c r="T256" s="57" t="s">
        <v>399</v>
      </c>
      <c r="U256" s="35"/>
      <c r="V256" s="171"/>
      <c r="W256" s="171" t="str">
        <f>'[1]bang gia'!$C$46</f>
        <v>đồng/cây</v>
      </c>
      <c r="X256" s="175">
        <v>2</v>
      </c>
      <c r="Y256" s="175">
        <v>4500000</v>
      </c>
      <c r="Z256" s="33"/>
      <c r="AA256" s="39">
        <v>1</v>
      </c>
      <c r="AB256" s="40">
        <f>X256*Y256*AA256</f>
        <v>9000000</v>
      </c>
      <c r="AC256" s="235"/>
      <c r="AD256" s="235"/>
    </row>
    <row r="257" spans="1:255" s="42" customFormat="1" ht="39" customHeight="1">
      <c r="A257" s="229"/>
      <c r="B257" s="230"/>
      <c r="C257" s="267"/>
      <c r="D257" s="267"/>
      <c r="E257" s="268"/>
      <c r="F257" s="268"/>
      <c r="G257" s="232"/>
      <c r="H257" s="232"/>
      <c r="I257" s="307"/>
      <c r="J257" s="232"/>
      <c r="K257" s="33"/>
      <c r="L257" s="233"/>
      <c r="M257" s="234"/>
      <c r="N257" s="234"/>
      <c r="O257" s="234"/>
      <c r="P257" s="234"/>
      <c r="Q257" s="234"/>
      <c r="R257" s="234"/>
      <c r="S257" s="234"/>
      <c r="T257" s="43" t="s">
        <v>695</v>
      </c>
      <c r="U257" s="44">
        <v>20</v>
      </c>
      <c r="V257" s="170">
        <f>(G254-X254)/20</f>
        <v>3.5</v>
      </c>
      <c r="W257" s="171" t="str">
        <f>'[1]bang gia'!$C$46</f>
        <v>đồng/cây</v>
      </c>
      <c r="X257" s="40">
        <v>5</v>
      </c>
      <c r="Y257" s="175"/>
      <c r="Z257" s="33"/>
      <c r="AA257" s="39"/>
      <c r="AB257" s="40"/>
      <c r="AC257" s="235"/>
      <c r="AD257" s="235"/>
    </row>
    <row r="258" spans="1:255" s="42" customFormat="1" ht="21.95" customHeight="1">
      <c r="A258" s="229"/>
      <c r="B258" s="230"/>
      <c r="C258" s="267"/>
      <c r="D258" s="267"/>
      <c r="E258" s="268"/>
      <c r="F258" s="268"/>
      <c r="G258" s="232"/>
      <c r="H258" s="232"/>
      <c r="I258" s="307"/>
      <c r="J258" s="232"/>
      <c r="K258" s="33"/>
      <c r="L258" s="233"/>
      <c r="M258" s="234"/>
      <c r="N258" s="234"/>
      <c r="O258" s="234"/>
      <c r="P258" s="234"/>
      <c r="Q258" s="234"/>
      <c r="R258" s="234"/>
      <c r="S258" s="234"/>
      <c r="T258" s="57" t="s">
        <v>399</v>
      </c>
      <c r="U258" s="35"/>
      <c r="V258" s="171"/>
      <c r="W258" s="171" t="str">
        <f>'[1]bang gia'!$C$46</f>
        <v>đồng/cây</v>
      </c>
      <c r="X258" s="40">
        <v>4</v>
      </c>
      <c r="Y258" s="175">
        <v>2500000</v>
      </c>
      <c r="Z258" s="33"/>
      <c r="AA258" s="39">
        <v>0.5</v>
      </c>
      <c r="AB258" s="40">
        <f>X258*Y258*AA258</f>
        <v>5000000</v>
      </c>
      <c r="AC258" s="235"/>
      <c r="AD258" s="235"/>
    </row>
    <row r="259" spans="1:255" s="42" customFormat="1" ht="21.95" customHeight="1">
      <c r="A259" s="229"/>
      <c r="B259" s="230"/>
      <c r="C259" s="267"/>
      <c r="D259" s="267"/>
      <c r="E259" s="268"/>
      <c r="F259" s="268"/>
      <c r="G259" s="232"/>
      <c r="H259" s="232"/>
      <c r="I259" s="307"/>
      <c r="J259" s="232"/>
      <c r="K259" s="33"/>
      <c r="L259" s="233"/>
      <c r="M259" s="234"/>
      <c r="N259" s="234"/>
      <c r="O259" s="234"/>
      <c r="P259" s="234"/>
      <c r="Q259" s="234"/>
      <c r="R259" s="234"/>
      <c r="S259" s="234"/>
      <c r="T259" s="57" t="s">
        <v>417</v>
      </c>
      <c r="U259" s="35"/>
      <c r="V259" s="171"/>
      <c r="W259" s="171" t="str">
        <f>'[1]bang gia'!$C$46</f>
        <v>đồng/cây</v>
      </c>
      <c r="X259" s="40">
        <v>1</v>
      </c>
      <c r="Y259" s="175">
        <v>2500000</v>
      </c>
      <c r="Z259" s="33"/>
      <c r="AA259" s="51">
        <v>0</v>
      </c>
      <c r="AB259" s="40">
        <f>X259*Y259*AA259</f>
        <v>0</v>
      </c>
      <c r="AC259" s="235"/>
      <c r="AD259" s="235"/>
    </row>
    <row r="260" spans="1:255" s="42" customFormat="1" ht="21.95" customHeight="1">
      <c r="A260" s="229"/>
      <c r="B260" s="230"/>
      <c r="C260" s="267"/>
      <c r="D260" s="267"/>
      <c r="E260" s="268"/>
      <c r="F260" s="268"/>
      <c r="G260" s="232"/>
      <c r="H260" s="232"/>
      <c r="I260" s="307"/>
      <c r="J260" s="232"/>
      <c r="K260" s="33"/>
      <c r="L260" s="233"/>
      <c r="M260" s="234"/>
      <c r="N260" s="234"/>
      <c r="O260" s="234"/>
      <c r="P260" s="234"/>
      <c r="Q260" s="234"/>
      <c r="R260" s="234"/>
      <c r="S260" s="234"/>
      <c r="T260" s="49" t="s">
        <v>638</v>
      </c>
      <c r="U260" s="35"/>
      <c r="V260" s="171"/>
      <c r="W260" s="171"/>
      <c r="X260" s="175"/>
      <c r="Y260" s="175"/>
      <c r="Z260" s="33"/>
      <c r="AA260" s="39">
        <v>0</v>
      </c>
      <c r="AB260" s="175">
        <v>0</v>
      </c>
      <c r="AC260" s="235"/>
      <c r="AD260" s="235"/>
    </row>
    <row r="261" spans="1:255" s="42" customFormat="1" ht="35.25" customHeight="1">
      <c r="A261" s="229">
        <v>22</v>
      </c>
      <c r="B261" s="230" t="s">
        <v>639</v>
      </c>
      <c r="C261" s="267">
        <v>64</v>
      </c>
      <c r="D261" s="267">
        <v>339</v>
      </c>
      <c r="E261" s="268">
        <v>614.79999999999995</v>
      </c>
      <c r="F261" s="268" t="s">
        <v>393</v>
      </c>
      <c r="G261" s="232">
        <v>568.79999999999995</v>
      </c>
      <c r="H261" s="232">
        <v>38.799999999999997</v>
      </c>
      <c r="I261" s="307">
        <v>568.70000000000005</v>
      </c>
      <c r="J261" s="232">
        <v>720</v>
      </c>
      <c r="K261" s="33"/>
      <c r="L261" s="233">
        <f>I261/J261*100</f>
        <v>78.986111111111114</v>
      </c>
      <c r="M261" s="234">
        <f>IF(L261&lt;10,2,IF(L261&lt;20,3,IF(L261&lt;30,5,IF(L261&gt;=70,12,IF(L261&gt;=30,6)))))</f>
        <v>12</v>
      </c>
      <c r="N261" s="234">
        <v>1</v>
      </c>
      <c r="O261" s="234">
        <f>$O$7</f>
        <v>80000</v>
      </c>
      <c r="P261" s="234">
        <f>I261*O261</f>
        <v>45496000</v>
      </c>
      <c r="Q261" s="234">
        <f>$Q$7*I261</f>
        <v>136488000</v>
      </c>
      <c r="R261" s="234">
        <f>M261*N261*$R$7</f>
        <v>6120000</v>
      </c>
      <c r="S261" s="234">
        <f>R261+Q261+P261</f>
        <v>188104000</v>
      </c>
      <c r="T261" s="34" t="s">
        <v>702</v>
      </c>
      <c r="U261" s="35"/>
      <c r="V261" s="171"/>
      <c r="W261" s="37" t="s">
        <v>0</v>
      </c>
      <c r="X261" s="180">
        <v>510</v>
      </c>
      <c r="Y261" s="175">
        <v>97000</v>
      </c>
      <c r="Z261" s="33"/>
      <c r="AA261" s="39">
        <v>1</v>
      </c>
      <c r="AB261" s="40">
        <f t="shared" ref="AB261:AB268" si="11">X261*Y261*AA261</f>
        <v>49470000</v>
      </c>
      <c r="AC261" s="235">
        <f>SUM(AB261:AB267)</f>
        <v>60720000</v>
      </c>
      <c r="AD261" s="235">
        <f>AC261+S261</f>
        <v>248824000</v>
      </c>
      <c r="AE261" s="41" t="s">
        <v>640</v>
      </c>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c r="CE261" s="41"/>
      <c r="CF261" s="41"/>
      <c r="CG261" s="41"/>
      <c r="CH261" s="41"/>
      <c r="CI261" s="41"/>
      <c r="CJ261" s="41"/>
      <c r="CK261" s="41"/>
      <c r="CL261" s="41"/>
      <c r="CM261" s="41"/>
      <c r="CN261" s="41"/>
      <c r="CO261" s="41"/>
      <c r="CP261" s="41"/>
      <c r="CQ261" s="41"/>
      <c r="CR261" s="41"/>
      <c r="CS261" s="41"/>
      <c r="CT261" s="41"/>
      <c r="CU261" s="41"/>
      <c r="CV261" s="41"/>
      <c r="CW261" s="41"/>
      <c r="CX261" s="41"/>
      <c r="CY261" s="41"/>
      <c r="CZ261" s="41"/>
      <c r="DA261" s="41"/>
      <c r="DB261" s="41"/>
      <c r="DC261" s="41"/>
      <c r="DD261" s="41"/>
      <c r="DE261" s="41"/>
      <c r="DF261" s="41"/>
      <c r="DG261" s="41"/>
      <c r="DH261" s="41"/>
      <c r="DI261" s="41"/>
      <c r="DJ261" s="41"/>
      <c r="DK261" s="41"/>
      <c r="DL261" s="41"/>
      <c r="DM261" s="41"/>
      <c r="DN261" s="41"/>
      <c r="DO261" s="41"/>
      <c r="DP261" s="41"/>
      <c r="DQ261" s="41"/>
      <c r="DR261" s="41"/>
      <c r="DS261" s="41"/>
      <c r="DT261" s="41"/>
      <c r="DU261" s="41"/>
      <c r="DV261" s="41"/>
      <c r="DW261" s="41"/>
      <c r="DX261" s="41"/>
      <c r="DY261" s="41"/>
      <c r="DZ261" s="41"/>
      <c r="EA261" s="41"/>
      <c r="EB261" s="41"/>
      <c r="EC261" s="41"/>
      <c r="ED261" s="41"/>
      <c r="EE261" s="41"/>
      <c r="EF261" s="41"/>
      <c r="EG261" s="41"/>
      <c r="EH261" s="41"/>
      <c r="EI261" s="41"/>
      <c r="EJ261" s="41"/>
      <c r="EK261" s="41"/>
      <c r="EL261" s="41"/>
      <c r="EM261" s="41"/>
      <c r="EN261" s="41"/>
      <c r="EO261" s="41"/>
      <c r="EP261" s="41"/>
      <c r="EQ261" s="41"/>
      <c r="ER261" s="41"/>
      <c r="ES261" s="41"/>
      <c r="ET261" s="41"/>
      <c r="EU261" s="41"/>
      <c r="EV261" s="41"/>
      <c r="EW261" s="41"/>
      <c r="EX261" s="41"/>
      <c r="EY261" s="41"/>
      <c r="EZ261" s="41"/>
      <c r="FA261" s="41"/>
      <c r="FB261" s="41"/>
      <c r="FC261" s="41"/>
      <c r="FD261" s="41"/>
      <c r="FE261" s="41"/>
      <c r="FF261" s="41"/>
      <c r="FG261" s="41"/>
      <c r="FH261" s="41"/>
      <c r="FI261" s="41"/>
      <c r="FJ261" s="41"/>
      <c r="FK261" s="41"/>
      <c r="FL261" s="41"/>
      <c r="FM261" s="41"/>
      <c r="FN261" s="41"/>
      <c r="FO261" s="41"/>
      <c r="FP261" s="41"/>
      <c r="FQ261" s="41"/>
      <c r="FR261" s="41"/>
      <c r="FS261" s="41"/>
      <c r="FT261" s="41"/>
      <c r="FU261" s="41"/>
      <c r="FV261" s="41"/>
      <c r="FW261" s="41"/>
      <c r="FX261" s="41"/>
      <c r="FY261" s="41"/>
      <c r="FZ261" s="41"/>
      <c r="GA261" s="41"/>
      <c r="GB261" s="41"/>
      <c r="GC261" s="41"/>
      <c r="GD261" s="41"/>
      <c r="GE261" s="41"/>
      <c r="GF261" s="41"/>
      <c r="GG261" s="41"/>
      <c r="GH261" s="41"/>
      <c r="GI261" s="41"/>
      <c r="GJ261" s="41"/>
      <c r="GK261" s="41"/>
      <c r="GL261" s="41"/>
      <c r="GM261" s="41"/>
      <c r="GN261" s="41"/>
      <c r="GO261" s="41"/>
      <c r="GP261" s="41"/>
      <c r="GQ261" s="41"/>
      <c r="GR261" s="41"/>
      <c r="GS261" s="41"/>
      <c r="GT261" s="41"/>
      <c r="GU261" s="41"/>
      <c r="GV261" s="41"/>
      <c r="GW261" s="41"/>
      <c r="GX261" s="41"/>
      <c r="GY261" s="41"/>
      <c r="GZ261" s="41"/>
      <c r="HA261" s="41"/>
      <c r="HB261" s="41"/>
      <c r="HC261" s="41"/>
      <c r="HD261" s="41"/>
      <c r="HE261" s="41"/>
      <c r="HF261" s="41"/>
      <c r="HG261" s="41"/>
      <c r="HH261" s="41"/>
      <c r="HI261" s="41"/>
      <c r="HJ261" s="41"/>
      <c r="HK261" s="41"/>
      <c r="HL261" s="41"/>
      <c r="HM261" s="41"/>
      <c r="HN261" s="41"/>
      <c r="HO261" s="41"/>
      <c r="HP261" s="41"/>
      <c r="HQ261" s="41"/>
      <c r="HR261" s="41"/>
      <c r="HS261" s="41"/>
      <c r="HT261" s="41"/>
      <c r="HU261" s="41"/>
      <c r="HV261" s="41"/>
      <c r="HW261" s="41"/>
      <c r="HX261" s="41"/>
      <c r="HY261" s="41"/>
      <c r="HZ261" s="41"/>
      <c r="IA261" s="41"/>
      <c r="IB261" s="41"/>
      <c r="IC261" s="41"/>
      <c r="ID261" s="41"/>
      <c r="IE261" s="41"/>
      <c r="IF261" s="41"/>
      <c r="IG261" s="41"/>
      <c r="IH261" s="41"/>
      <c r="II261" s="41"/>
      <c r="IJ261" s="41"/>
      <c r="IK261" s="41"/>
      <c r="IL261" s="41"/>
      <c r="IM261" s="41"/>
      <c r="IN261" s="41"/>
      <c r="IO261" s="41"/>
      <c r="IP261" s="41"/>
      <c r="IQ261" s="41"/>
      <c r="IR261" s="41"/>
      <c r="IS261" s="41"/>
      <c r="IT261" s="41"/>
      <c r="IU261" s="41"/>
    </row>
    <row r="262" spans="1:255" s="42" customFormat="1" ht="36.75" customHeight="1">
      <c r="A262" s="229"/>
      <c r="B262" s="230"/>
      <c r="C262" s="267"/>
      <c r="D262" s="267"/>
      <c r="E262" s="268"/>
      <c r="F262" s="268"/>
      <c r="G262" s="232"/>
      <c r="H262" s="232"/>
      <c r="I262" s="307"/>
      <c r="J262" s="232"/>
      <c r="K262" s="33"/>
      <c r="L262" s="233"/>
      <c r="M262" s="234"/>
      <c r="N262" s="234"/>
      <c r="O262" s="234"/>
      <c r="P262" s="234"/>
      <c r="Q262" s="234"/>
      <c r="R262" s="234"/>
      <c r="S262" s="234"/>
      <c r="T262" s="49" t="s">
        <v>726</v>
      </c>
      <c r="U262" s="35"/>
      <c r="V262" s="171"/>
      <c r="W262" s="171" t="str">
        <f>'[1]bang gia'!$C$46</f>
        <v>đồng/cây</v>
      </c>
      <c r="X262" s="175">
        <v>2</v>
      </c>
      <c r="Y262" s="175"/>
      <c r="Z262" s="33"/>
      <c r="AA262" s="39"/>
      <c r="AB262" s="175"/>
      <c r="AC262" s="235"/>
      <c r="AD262" s="235"/>
    </row>
    <row r="263" spans="1:255" s="42" customFormat="1" ht="20.25" customHeight="1">
      <c r="A263" s="229"/>
      <c r="B263" s="230"/>
      <c r="C263" s="267"/>
      <c r="D263" s="267"/>
      <c r="E263" s="268"/>
      <c r="F263" s="268"/>
      <c r="G263" s="232"/>
      <c r="H263" s="232"/>
      <c r="I263" s="307"/>
      <c r="J263" s="232"/>
      <c r="K263" s="33"/>
      <c r="L263" s="233"/>
      <c r="M263" s="234"/>
      <c r="N263" s="234"/>
      <c r="O263" s="234"/>
      <c r="P263" s="234"/>
      <c r="Q263" s="234"/>
      <c r="R263" s="234"/>
      <c r="S263" s="234"/>
      <c r="T263" s="57" t="s">
        <v>399</v>
      </c>
      <c r="U263" s="35">
        <v>25</v>
      </c>
      <c r="V263" s="170">
        <f>(G261-X261)/25</f>
        <v>2.3519999999999981</v>
      </c>
      <c r="W263" s="171" t="str">
        <f>'[1]bang gia'!$C$46</f>
        <v>đồng/cây</v>
      </c>
      <c r="X263" s="175">
        <v>2</v>
      </c>
      <c r="Y263" s="175">
        <v>4500000</v>
      </c>
      <c r="Z263" s="33"/>
      <c r="AA263" s="39">
        <v>1</v>
      </c>
      <c r="AB263" s="40">
        <f t="shared" si="11"/>
        <v>9000000</v>
      </c>
      <c r="AC263" s="235"/>
      <c r="AD263" s="235"/>
    </row>
    <row r="264" spans="1:255" s="42" customFormat="1" ht="36.75" customHeight="1">
      <c r="A264" s="229"/>
      <c r="B264" s="230"/>
      <c r="C264" s="267"/>
      <c r="D264" s="267"/>
      <c r="E264" s="268"/>
      <c r="F264" s="268"/>
      <c r="G264" s="232"/>
      <c r="H264" s="232"/>
      <c r="I264" s="307"/>
      <c r="J264" s="232"/>
      <c r="K264" s="33"/>
      <c r="L264" s="233"/>
      <c r="M264" s="234"/>
      <c r="N264" s="234"/>
      <c r="O264" s="234"/>
      <c r="P264" s="234"/>
      <c r="Q264" s="234"/>
      <c r="R264" s="234"/>
      <c r="S264" s="234"/>
      <c r="T264" s="43" t="s">
        <v>695</v>
      </c>
      <c r="U264" s="35"/>
      <c r="V264" s="171"/>
      <c r="W264" s="171" t="str">
        <f>'[1]bang gia'!$C$46</f>
        <v>đồng/cây</v>
      </c>
      <c r="X264" s="40">
        <v>4</v>
      </c>
      <c r="Y264" s="45"/>
      <c r="Z264" s="33"/>
      <c r="AA264" s="39"/>
      <c r="AB264" s="40"/>
      <c r="AC264" s="235"/>
      <c r="AD264" s="235"/>
    </row>
    <row r="265" spans="1:255" s="42" customFormat="1" ht="21.95" customHeight="1">
      <c r="A265" s="229"/>
      <c r="B265" s="230"/>
      <c r="C265" s="267"/>
      <c r="D265" s="267"/>
      <c r="E265" s="268"/>
      <c r="F265" s="268"/>
      <c r="G265" s="232"/>
      <c r="H265" s="232"/>
      <c r="I265" s="307"/>
      <c r="J265" s="232"/>
      <c r="K265" s="33"/>
      <c r="L265" s="233"/>
      <c r="M265" s="234"/>
      <c r="N265" s="234"/>
      <c r="O265" s="234"/>
      <c r="P265" s="234"/>
      <c r="Q265" s="234"/>
      <c r="R265" s="234"/>
      <c r="S265" s="234"/>
      <c r="T265" s="57" t="s">
        <v>399</v>
      </c>
      <c r="U265" s="35">
        <v>20</v>
      </c>
      <c r="V265" s="170">
        <f>(G261-X261)/20</f>
        <v>2.9399999999999977</v>
      </c>
      <c r="W265" s="171" t="str">
        <f>'[1]bang gia'!$C$46</f>
        <v>đồng/cây</v>
      </c>
      <c r="X265" s="40">
        <v>3</v>
      </c>
      <c r="Y265" s="45">
        <v>2500000</v>
      </c>
      <c r="Z265" s="33"/>
      <c r="AA265" s="51">
        <v>0.3</v>
      </c>
      <c r="AB265" s="40">
        <f t="shared" si="11"/>
        <v>2250000</v>
      </c>
      <c r="AC265" s="235"/>
      <c r="AD265" s="235"/>
    </row>
    <row r="266" spans="1:255" s="42" customFormat="1" ht="21.95" customHeight="1">
      <c r="A266" s="229"/>
      <c r="B266" s="230"/>
      <c r="C266" s="267"/>
      <c r="D266" s="267"/>
      <c r="E266" s="268"/>
      <c r="F266" s="268"/>
      <c r="G266" s="232"/>
      <c r="H266" s="232"/>
      <c r="I266" s="307"/>
      <c r="J266" s="232"/>
      <c r="K266" s="33"/>
      <c r="L266" s="233"/>
      <c r="M266" s="234"/>
      <c r="N266" s="234"/>
      <c r="O266" s="234"/>
      <c r="P266" s="234"/>
      <c r="Q266" s="234"/>
      <c r="R266" s="234"/>
      <c r="S266" s="234"/>
      <c r="T266" s="57" t="s">
        <v>417</v>
      </c>
      <c r="U266" s="44"/>
      <c r="V266" s="171"/>
      <c r="W266" s="171" t="str">
        <f>'[1]bang gia'!$C$46</f>
        <v>đồng/cây</v>
      </c>
      <c r="X266" s="40">
        <v>1</v>
      </c>
      <c r="Y266" s="45">
        <v>2500000</v>
      </c>
      <c r="Z266" s="33"/>
      <c r="AA266" s="51">
        <v>0</v>
      </c>
      <c r="AB266" s="40">
        <f t="shared" si="11"/>
        <v>0</v>
      </c>
      <c r="AC266" s="235"/>
      <c r="AD266" s="235"/>
    </row>
    <row r="267" spans="1:255" s="42" customFormat="1" ht="21.95" customHeight="1">
      <c r="A267" s="229"/>
      <c r="B267" s="230"/>
      <c r="C267" s="267"/>
      <c r="D267" s="267"/>
      <c r="E267" s="268"/>
      <c r="F267" s="268"/>
      <c r="G267" s="232"/>
      <c r="H267" s="232"/>
      <c r="I267" s="307"/>
      <c r="J267" s="232"/>
      <c r="K267" s="33"/>
      <c r="L267" s="233"/>
      <c r="M267" s="234"/>
      <c r="N267" s="234"/>
      <c r="O267" s="234"/>
      <c r="P267" s="234"/>
      <c r="Q267" s="234"/>
      <c r="R267" s="234"/>
      <c r="S267" s="234"/>
      <c r="T267" s="49" t="s">
        <v>641</v>
      </c>
      <c r="U267" s="44"/>
      <c r="V267" s="171"/>
      <c r="W267" s="171" t="s">
        <v>7</v>
      </c>
      <c r="X267" s="40"/>
      <c r="Y267" s="45"/>
      <c r="Z267" s="33"/>
      <c r="AA267" s="39">
        <v>0</v>
      </c>
      <c r="AB267" s="40">
        <f t="shared" si="11"/>
        <v>0</v>
      </c>
      <c r="AC267" s="235"/>
      <c r="AD267" s="235"/>
    </row>
    <row r="268" spans="1:255" s="42" customFormat="1" ht="41.25" customHeight="1">
      <c r="A268" s="229">
        <v>23</v>
      </c>
      <c r="B268" s="267" t="s">
        <v>642</v>
      </c>
      <c r="C268" s="267">
        <v>64</v>
      </c>
      <c r="D268" s="267">
        <v>336</v>
      </c>
      <c r="E268" s="268">
        <v>230.6</v>
      </c>
      <c r="F268" s="268" t="s">
        <v>393</v>
      </c>
      <c r="G268" s="232">
        <v>216</v>
      </c>
      <c r="H268" s="232">
        <f>E268-G268</f>
        <v>14.599999999999994</v>
      </c>
      <c r="I268" s="307">
        <v>216</v>
      </c>
      <c r="J268" s="232">
        <v>1076.4000000000001</v>
      </c>
      <c r="K268" s="33"/>
      <c r="L268" s="233">
        <f>I268/J268*100</f>
        <v>20.066889632107021</v>
      </c>
      <c r="M268" s="234">
        <f>IF(L268&lt;10,2,IF(L268&lt;20,3,IF(L268&lt;30,5,IF(L268&gt;=70,12,IF(L268&gt;=30,6)))))</f>
        <v>5</v>
      </c>
      <c r="N268" s="234">
        <v>6</v>
      </c>
      <c r="O268" s="234">
        <f>$O$7</f>
        <v>80000</v>
      </c>
      <c r="P268" s="234">
        <f>I268*O268</f>
        <v>17280000</v>
      </c>
      <c r="Q268" s="234">
        <f>$Q$7*I268</f>
        <v>51840000</v>
      </c>
      <c r="R268" s="234">
        <f>M268*N268*$R$7</f>
        <v>15300000</v>
      </c>
      <c r="S268" s="234">
        <f>R268+Q268+P268</f>
        <v>84420000</v>
      </c>
      <c r="T268" s="34" t="s">
        <v>702</v>
      </c>
      <c r="U268" s="35"/>
      <c r="V268" s="171"/>
      <c r="W268" s="37" t="s">
        <v>0</v>
      </c>
      <c r="X268" s="180">
        <v>180</v>
      </c>
      <c r="Y268" s="175">
        <v>97000</v>
      </c>
      <c r="Z268" s="33"/>
      <c r="AA268" s="39">
        <v>1</v>
      </c>
      <c r="AB268" s="40">
        <f t="shared" si="11"/>
        <v>17460000</v>
      </c>
      <c r="AC268" s="235">
        <f>SUM(AB268:AB273)</f>
        <v>22710000</v>
      </c>
      <c r="AD268" s="235">
        <f>AC268+S268</f>
        <v>107130000</v>
      </c>
      <c r="AE268" s="41" t="s">
        <v>640</v>
      </c>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c r="CC268" s="41"/>
      <c r="CD268" s="41"/>
      <c r="CE268" s="41"/>
      <c r="CF268" s="41"/>
      <c r="CG268" s="41"/>
      <c r="CH268" s="41"/>
      <c r="CI268" s="41"/>
      <c r="CJ268" s="41"/>
      <c r="CK268" s="41"/>
      <c r="CL268" s="41"/>
      <c r="CM268" s="41"/>
      <c r="CN268" s="41"/>
      <c r="CO268" s="41"/>
      <c r="CP268" s="41"/>
      <c r="CQ268" s="41"/>
      <c r="CR268" s="41"/>
      <c r="CS268" s="41"/>
      <c r="CT268" s="41"/>
      <c r="CU268" s="41"/>
      <c r="CV268" s="41"/>
      <c r="CW268" s="41"/>
      <c r="CX268" s="41"/>
      <c r="CY268" s="41"/>
      <c r="CZ268" s="41"/>
      <c r="DA268" s="41"/>
      <c r="DB268" s="41"/>
      <c r="DC268" s="41"/>
      <c r="DD268" s="41"/>
      <c r="DE268" s="41"/>
      <c r="DF268" s="41"/>
      <c r="DG268" s="41"/>
      <c r="DH268" s="41"/>
      <c r="DI268" s="41"/>
      <c r="DJ268" s="41"/>
      <c r="DK268" s="41"/>
      <c r="DL268" s="41"/>
      <c r="DM268" s="41"/>
      <c r="DN268" s="41"/>
      <c r="DO268" s="41"/>
      <c r="DP268" s="41"/>
      <c r="DQ268" s="41"/>
      <c r="DR268" s="41"/>
      <c r="DS268" s="41"/>
      <c r="DT268" s="41"/>
      <c r="DU268" s="41"/>
      <c r="DV268" s="41"/>
      <c r="DW268" s="41"/>
      <c r="DX268" s="41"/>
      <c r="DY268" s="41"/>
      <c r="DZ268" s="41"/>
      <c r="EA268" s="41"/>
      <c r="EB268" s="41"/>
      <c r="EC268" s="41"/>
      <c r="ED268" s="41"/>
      <c r="EE268" s="41"/>
      <c r="EF268" s="41"/>
      <c r="EG268" s="41"/>
      <c r="EH268" s="41"/>
      <c r="EI268" s="41"/>
      <c r="EJ268" s="41"/>
      <c r="EK268" s="41"/>
      <c r="EL268" s="41"/>
      <c r="EM268" s="41"/>
      <c r="EN268" s="41"/>
      <c r="EO268" s="41"/>
      <c r="EP268" s="41"/>
      <c r="EQ268" s="41"/>
      <c r="ER268" s="41"/>
      <c r="ES268" s="41"/>
      <c r="ET268" s="41"/>
      <c r="EU268" s="41"/>
      <c r="EV268" s="41"/>
      <c r="EW268" s="41"/>
      <c r="EX268" s="41"/>
      <c r="EY268" s="41"/>
      <c r="EZ268" s="41"/>
      <c r="FA268" s="41"/>
      <c r="FB268" s="41"/>
      <c r="FC268" s="41"/>
      <c r="FD268" s="41"/>
      <c r="FE268" s="41"/>
      <c r="FF268" s="41"/>
      <c r="FG268" s="41"/>
      <c r="FH268" s="41"/>
      <c r="FI268" s="41"/>
      <c r="FJ268" s="41"/>
      <c r="FK268" s="41"/>
      <c r="FL268" s="41"/>
      <c r="FM268" s="41"/>
      <c r="FN268" s="41"/>
      <c r="FO268" s="41"/>
      <c r="FP268" s="41"/>
      <c r="FQ268" s="41"/>
      <c r="FR268" s="41"/>
      <c r="FS268" s="41"/>
      <c r="FT268" s="41"/>
      <c r="FU268" s="41"/>
      <c r="FV268" s="41"/>
      <c r="FW268" s="41"/>
      <c r="FX268" s="41"/>
      <c r="FY268" s="41"/>
      <c r="FZ268" s="41"/>
      <c r="GA268" s="41"/>
      <c r="GB268" s="41"/>
      <c r="GC268" s="41"/>
      <c r="GD268" s="41"/>
      <c r="GE268" s="41"/>
      <c r="GF268" s="41"/>
      <c r="GG268" s="41"/>
      <c r="GH268" s="41"/>
      <c r="GI268" s="41"/>
      <c r="GJ268" s="41"/>
      <c r="GK268" s="41"/>
      <c r="GL268" s="41"/>
      <c r="GM268" s="41"/>
      <c r="GN268" s="41"/>
      <c r="GO268" s="41"/>
      <c r="GP268" s="41"/>
      <c r="GQ268" s="41"/>
      <c r="GR268" s="41"/>
      <c r="GS268" s="41"/>
      <c r="GT268" s="41"/>
      <c r="GU268" s="41"/>
      <c r="GV268" s="41"/>
      <c r="GW268" s="41"/>
      <c r="GX268" s="41"/>
      <c r="GY268" s="41"/>
      <c r="GZ268" s="41"/>
      <c r="HA268" s="41"/>
      <c r="HB268" s="41"/>
      <c r="HC268" s="41"/>
      <c r="HD268" s="41"/>
      <c r="HE268" s="41"/>
      <c r="HF268" s="41"/>
      <c r="HG268" s="41"/>
      <c r="HH268" s="41"/>
      <c r="HI268" s="41"/>
      <c r="HJ268" s="41"/>
      <c r="HK268" s="41"/>
      <c r="HL268" s="41"/>
      <c r="HM268" s="41"/>
      <c r="HN268" s="41"/>
      <c r="HO268" s="41"/>
      <c r="HP268" s="41"/>
      <c r="HQ268" s="41"/>
      <c r="HR268" s="41"/>
      <c r="HS268" s="41"/>
      <c r="HT268" s="41"/>
      <c r="HU268" s="41"/>
      <c r="HV268" s="41"/>
      <c r="HW268" s="41"/>
      <c r="HX268" s="41"/>
      <c r="HY268" s="41"/>
      <c r="HZ268" s="41"/>
      <c r="IA268" s="41"/>
      <c r="IB268" s="41"/>
      <c r="IC268" s="41"/>
      <c r="ID268" s="41"/>
      <c r="IE268" s="41"/>
      <c r="IF268" s="41"/>
      <c r="IG268" s="41"/>
      <c r="IH268" s="41"/>
      <c r="II268" s="41"/>
      <c r="IJ268" s="41"/>
      <c r="IK268" s="41"/>
      <c r="IL268" s="41"/>
      <c r="IM268" s="41"/>
      <c r="IN268" s="41"/>
      <c r="IO268" s="41"/>
      <c r="IP268" s="41"/>
      <c r="IQ268" s="41"/>
      <c r="IR268" s="41"/>
      <c r="IS268" s="41"/>
      <c r="IT268" s="41"/>
      <c r="IU268" s="41"/>
    </row>
    <row r="269" spans="1:255" s="42" customFormat="1" ht="42" customHeight="1">
      <c r="A269" s="229"/>
      <c r="B269" s="267"/>
      <c r="C269" s="267"/>
      <c r="D269" s="267"/>
      <c r="E269" s="268"/>
      <c r="F269" s="268"/>
      <c r="G269" s="232"/>
      <c r="H269" s="232"/>
      <c r="I269" s="307"/>
      <c r="J269" s="232"/>
      <c r="K269" s="33"/>
      <c r="L269" s="233"/>
      <c r="M269" s="234"/>
      <c r="N269" s="234"/>
      <c r="O269" s="234"/>
      <c r="P269" s="234"/>
      <c r="Q269" s="234"/>
      <c r="R269" s="234"/>
      <c r="S269" s="234"/>
      <c r="T269" s="49" t="s">
        <v>691</v>
      </c>
      <c r="U269" s="35"/>
      <c r="V269" s="171"/>
      <c r="W269" s="171" t="str">
        <f>'[1]bang gia'!$C$46</f>
        <v>đồng/cây</v>
      </c>
      <c r="X269" s="175">
        <v>1</v>
      </c>
      <c r="Y269" s="175"/>
      <c r="Z269" s="33"/>
      <c r="AA269" s="39"/>
      <c r="AB269" s="175"/>
      <c r="AC269" s="235"/>
      <c r="AD269" s="235"/>
    </row>
    <row r="270" spans="1:255" s="42" customFormat="1" ht="25.5" customHeight="1">
      <c r="A270" s="229"/>
      <c r="B270" s="267"/>
      <c r="C270" s="267"/>
      <c r="D270" s="267"/>
      <c r="E270" s="268"/>
      <c r="F270" s="268"/>
      <c r="G270" s="232"/>
      <c r="H270" s="232"/>
      <c r="I270" s="307"/>
      <c r="J270" s="232"/>
      <c r="K270" s="33"/>
      <c r="L270" s="233"/>
      <c r="M270" s="234"/>
      <c r="N270" s="234"/>
      <c r="O270" s="234"/>
      <c r="P270" s="234"/>
      <c r="Q270" s="234"/>
      <c r="R270" s="234"/>
      <c r="S270" s="234"/>
      <c r="T270" s="57" t="s">
        <v>399</v>
      </c>
      <c r="U270" s="35">
        <v>25</v>
      </c>
      <c r="V270" s="170">
        <f>(G268-X268)/25</f>
        <v>1.44</v>
      </c>
      <c r="W270" s="171" t="str">
        <f>'[1]bang gia'!$C$46</f>
        <v>đồng/cây</v>
      </c>
      <c r="X270" s="175">
        <v>1</v>
      </c>
      <c r="Y270" s="175">
        <v>4500000</v>
      </c>
      <c r="Z270" s="33"/>
      <c r="AA270" s="39">
        <v>1</v>
      </c>
      <c r="AB270" s="40">
        <f>X270*Y270*AA270</f>
        <v>4500000</v>
      </c>
      <c r="AC270" s="235"/>
      <c r="AD270" s="235"/>
    </row>
    <row r="271" spans="1:255" s="42" customFormat="1" ht="48" customHeight="1">
      <c r="A271" s="229"/>
      <c r="B271" s="267"/>
      <c r="C271" s="267"/>
      <c r="D271" s="267"/>
      <c r="E271" s="268"/>
      <c r="F271" s="268"/>
      <c r="G271" s="232"/>
      <c r="H271" s="232"/>
      <c r="I271" s="307"/>
      <c r="J271" s="232"/>
      <c r="K271" s="33"/>
      <c r="L271" s="233"/>
      <c r="M271" s="234"/>
      <c r="N271" s="234"/>
      <c r="O271" s="234"/>
      <c r="P271" s="234"/>
      <c r="Q271" s="234"/>
      <c r="R271" s="234"/>
      <c r="S271" s="234"/>
      <c r="T271" s="43" t="s">
        <v>698</v>
      </c>
      <c r="U271" s="44">
        <v>20</v>
      </c>
      <c r="V271" s="170">
        <f>(G268-X268)/20</f>
        <v>1.8</v>
      </c>
      <c r="W271" s="171" t="str">
        <f>'[1]bang gia'!$C$46</f>
        <v>đồng/cây</v>
      </c>
      <c r="X271" s="40">
        <v>1</v>
      </c>
      <c r="Y271" s="45"/>
      <c r="Z271" s="33"/>
      <c r="AA271" s="39"/>
      <c r="AB271" s="40"/>
      <c r="AC271" s="235"/>
      <c r="AD271" s="235"/>
    </row>
    <row r="272" spans="1:255" s="42" customFormat="1" ht="24" customHeight="1">
      <c r="A272" s="229"/>
      <c r="B272" s="267"/>
      <c r="C272" s="267"/>
      <c r="D272" s="267"/>
      <c r="E272" s="268"/>
      <c r="F272" s="268"/>
      <c r="G272" s="232"/>
      <c r="H272" s="232"/>
      <c r="I272" s="307"/>
      <c r="J272" s="232"/>
      <c r="K272" s="33"/>
      <c r="L272" s="233"/>
      <c r="M272" s="234"/>
      <c r="N272" s="234"/>
      <c r="O272" s="234"/>
      <c r="P272" s="234"/>
      <c r="Q272" s="234"/>
      <c r="R272" s="234"/>
      <c r="S272" s="234"/>
      <c r="T272" s="57" t="s">
        <v>399</v>
      </c>
      <c r="U272" s="35"/>
      <c r="V272" s="171"/>
      <c r="W272" s="171" t="str">
        <f>'[1]bang gia'!$C$46</f>
        <v>đồng/cây</v>
      </c>
      <c r="X272" s="40">
        <v>1</v>
      </c>
      <c r="Y272" s="45">
        <v>2500000</v>
      </c>
      <c r="Z272" s="33"/>
      <c r="AA272" s="51">
        <v>0.3</v>
      </c>
      <c r="AB272" s="40">
        <f>X272*Y272*AA272</f>
        <v>750000</v>
      </c>
      <c r="AC272" s="235"/>
      <c r="AD272" s="235"/>
    </row>
    <row r="273" spans="1:255" s="42" customFormat="1" ht="24" customHeight="1">
      <c r="A273" s="229"/>
      <c r="B273" s="267"/>
      <c r="C273" s="267"/>
      <c r="D273" s="267"/>
      <c r="E273" s="268"/>
      <c r="F273" s="268"/>
      <c r="G273" s="232"/>
      <c r="H273" s="232"/>
      <c r="I273" s="307"/>
      <c r="J273" s="232"/>
      <c r="K273" s="33"/>
      <c r="L273" s="233"/>
      <c r="M273" s="234"/>
      <c r="N273" s="234"/>
      <c r="O273" s="234"/>
      <c r="P273" s="234"/>
      <c r="Q273" s="234"/>
      <c r="R273" s="234"/>
      <c r="S273" s="234"/>
      <c r="T273" s="49" t="s">
        <v>644</v>
      </c>
      <c r="U273" s="44"/>
      <c r="V273" s="171"/>
      <c r="W273" s="171" t="s">
        <v>7</v>
      </c>
      <c r="X273" s="40"/>
      <c r="Y273" s="45"/>
      <c r="Z273" s="33"/>
      <c r="AA273" s="39"/>
      <c r="AB273" s="40"/>
      <c r="AC273" s="235"/>
      <c r="AD273" s="235"/>
    </row>
    <row r="274" spans="1:255" s="42" customFormat="1" ht="36.75" customHeight="1">
      <c r="A274" s="229">
        <v>24</v>
      </c>
      <c r="B274" s="267" t="s">
        <v>645</v>
      </c>
      <c r="C274" s="267">
        <v>64</v>
      </c>
      <c r="D274" s="267">
        <v>338</v>
      </c>
      <c r="E274" s="268">
        <v>384.4</v>
      </c>
      <c r="F274" s="268" t="s">
        <v>393</v>
      </c>
      <c r="G274" s="279">
        <v>360</v>
      </c>
      <c r="H274" s="232">
        <f>E274-G274</f>
        <v>24.399999999999977</v>
      </c>
      <c r="I274" s="307">
        <v>360</v>
      </c>
      <c r="J274" s="277">
        <v>1440</v>
      </c>
      <c r="K274" s="33"/>
      <c r="L274" s="233">
        <f>I274/J274*100</f>
        <v>25</v>
      </c>
      <c r="M274" s="234">
        <f>IF(L274&lt;10,2,IF(L274&lt;20,3,IF(L274&lt;30,5,IF(L274&gt;=70,12,IF(L274&gt;=30,6)))))</f>
        <v>5</v>
      </c>
      <c r="N274" s="234">
        <v>4</v>
      </c>
      <c r="O274" s="234">
        <f>$O$7</f>
        <v>80000</v>
      </c>
      <c r="P274" s="234">
        <f>I274*O274</f>
        <v>28800000</v>
      </c>
      <c r="Q274" s="234">
        <f>$Q$7*I274</f>
        <v>86400000</v>
      </c>
      <c r="R274" s="234">
        <f>M274*N274*$R$7</f>
        <v>10200000</v>
      </c>
      <c r="S274" s="234">
        <f>R274+Q274+P274</f>
        <v>125400000</v>
      </c>
      <c r="T274" s="34" t="s">
        <v>491</v>
      </c>
      <c r="U274" s="35"/>
      <c r="V274" s="171"/>
      <c r="W274" s="37" t="s">
        <v>0</v>
      </c>
      <c r="X274" s="180">
        <v>320</v>
      </c>
      <c r="Y274" s="175">
        <v>97000</v>
      </c>
      <c r="Z274" s="33"/>
      <c r="AA274" s="39">
        <v>1</v>
      </c>
      <c r="AB274" s="40">
        <f>X274*Y274*AA274</f>
        <v>31040000</v>
      </c>
      <c r="AC274" s="235">
        <f>SUM(AB274:AB280)</f>
        <v>38040000</v>
      </c>
      <c r="AD274" s="235">
        <f>AC274+S274</f>
        <v>163440000</v>
      </c>
      <c r="AE274" s="41" t="s">
        <v>590</v>
      </c>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c r="DA274" s="41"/>
      <c r="DB274" s="41"/>
      <c r="DC274" s="41"/>
      <c r="DD274" s="41"/>
      <c r="DE274" s="41"/>
      <c r="DF274" s="41"/>
      <c r="DG274" s="41"/>
      <c r="DH274" s="41"/>
      <c r="DI274" s="41"/>
      <c r="DJ274" s="41"/>
      <c r="DK274" s="41"/>
      <c r="DL274" s="41"/>
      <c r="DM274" s="41"/>
      <c r="DN274" s="41"/>
      <c r="DO274" s="41"/>
      <c r="DP274" s="41"/>
      <c r="DQ274" s="41"/>
      <c r="DR274" s="41"/>
      <c r="DS274" s="41"/>
      <c r="DT274" s="41"/>
      <c r="DU274" s="41"/>
      <c r="DV274" s="41"/>
      <c r="DW274" s="41"/>
      <c r="DX274" s="41"/>
      <c r="DY274" s="41"/>
      <c r="DZ274" s="41"/>
      <c r="EA274" s="41"/>
      <c r="EB274" s="41"/>
      <c r="EC274" s="41"/>
      <c r="ED274" s="41"/>
      <c r="EE274" s="41"/>
      <c r="EF274" s="41"/>
      <c r="EG274" s="41"/>
      <c r="EH274" s="41"/>
      <c r="EI274" s="41"/>
      <c r="EJ274" s="41"/>
      <c r="EK274" s="41"/>
      <c r="EL274" s="41"/>
      <c r="EM274" s="41"/>
      <c r="EN274" s="41"/>
      <c r="EO274" s="41"/>
      <c r="EP274" s="41"/>
      <c r="EQ274" s="41"/>
      <c r="ER274" s="41"/>
      <c r="ES274" s="41"/>
      <c r="ET274" s="41"/>
      <c r="EU274" s="41"/>
      <c r="EV274" s="41"/>
      <c r="EW274" s="41"/>
      <c r="EX274" s="41"/>
      <c r="EY274" s="41"/>
      <c r="EZ274" s="41"/>
      <c r="FA274" s="41"/>
      <c r="FB274" s="41"/>
      <c r="FC274" s="41"/>
      <c r="FD274" s="41"/>
      <c r="FE274" s="41"/>
      <c r="FF274" s="41"/>
      <c r="FG274" s="41"/>
      <c r="FH274" s="41"/>
      <c r="FI274" s="41"/>
      <c r="FJ274" s="41"/>
      <c r="FK274" s="41"/>
      <c r="FL274" s="41"/>
      <c r="FM274" s="41"/>
      <c r="FN274" s="41"/>
      <c r="FO274" s="41"/>
      <c r="FP274" s="41"/>
      <c r="FQ274" s="41"/>
      <c r="FR274" s="41"/>
      <c r="FS274" s="41"/>
      <c r="FT274" s="41"/>
      <c r="FU274" s="41"/>
      <c r="FV274" s="41"/>
      <c r="FW274" s="41"/>
      <c r="FX274" s="41"/>
      <c r="FY274" s="41"/>
      <c r="FZ274" s="41"/>
      <c r="GA274" s="41"/>
      <c r="GB274" s="41"/>
      <c r="GC274" s="41"/>
      <c r="GD274" s="41"/>
      <c r="GE274" s="41"/>
      <c r="GF274" s="41"/>
      <c r="GG274" s="41"/>
      <c r="GH274" s="41"/>
      <c r="GI274" s="41"/>
      <c r="GJ274" s="41"/>
      <c r="GK274" s="41"/>
      <c r="GL274" s="41"/>
      <c r="GM274" s="41"/>
      <c r="GN274" s="41"/>
      <c r="GO274" s="41"/>
      <c r="GP274" s="41"/>
      <c r="GQ274" s="41"/>
      <c r="GR274" s="41"/>
      <c r="GS274" s="41"/>
      <c r="GT274" s="41"/>
      <c r="GU274" s="41"/>
      <c r="GV274" s="41"/>
      <c r="GW274" s="41"/>
      <c r="GX274" s="41"/>
      <c r="GY274" s="41"/>
      <c r="GZ274" s="41"/>
      <c r="HA274" s="41"/>
      <c r="HB274" s="41"/>
      <c r="HC274" s="41"/>
      <c r="HD274" s="41"/>
      <c r="HE274" s="41"/>
      <c r="HF274" s="41"/>
      <c r="HG274" s="41"/>
      <c r="HH274" s="41"/>
      <c r="HI274" s="41"/>
      <c r="HJ274" s="41"/>
      <c r="HK274" s="41"/>
      <c r="HL274" s="41"/>
      <c r="HM274" s="41"/>
      <c r="HN274" s="41"/>
      <c r="HO274" s="41"/>
      <c r="HP274" s="41"/>
      <c r="HQ274" s="41"/>
      <c r="HR274" s="41"/>
      <c r="HS274" s="41"/>
      <c r="HT274" s="41"/>
      <c r="HU274" s="41"/>
      <c r="HV274" s="41"/>
      <c r="HW274" s="41"/>
      <c r="HX274" s="41"/>
      <c r="HY274" s="41"/>
      <c r="HZ274" s="41"/>
      <c r="IA274" s="41"/>
      <c r="IB274" s="41"/>
      <c r="IC274" s="41"/>
      <c r="ID274" s="41"/>
      <c r="IE274" s="41"/>
      <c r="IF274" s="41"/>
      <c r="IG274" s="41"/>
      <c r="IH274" s="41"/>
      <c r="II274" s="41"/>
      <c r="IJ274" s="41"/>
      <c r="IK274" s="41"/>
      <c r="IL274" s="41"/>
      <c r="IM274" s="41"/>
      <c r="IN274" s="41"/>
      <c r="IO274" s="41"/>
      <c r="IP274" s="41"/>
      <c r="IQ274" s="41"/>
      <c r="IR274" s="41"/>
      <c r="IS274" s="41"/>
      <c r="IT274" s="41"/>
      <c r="IU274" s="41"/>
    </row>
    <row r="275" spans="1:255" s="42" customFormat="1" ht="38.25" customHeight="1">
      <c r="A275" s="229"/>
      <c r="B275" s="267"/>
      <c r="C275" s="267"/>
      <c r="D275" s="267"/>
      <c r="E275" s="268"/>
      <c r="F275" s="268"/>
      <c r="G275" s="279"/>
      <c r="H275" s="232"/>
      <c r="I275" s="307"/>
      <c r="J275" s="277"/>
      <c r="K275" s="33"/>
      <c r="L275" s="233"/>
      <c r="M275" s="234"/>
      <c r="N275" s="234"/>
      <c r="O275" s="234"/>
      <c r="P275" s="234"/>
      <c r="Q275" s="234"/>
      <c r="R275" s="234"/>
      <c r="S275" s="234"/>
      <c r="T275" s="49" t="s">
        <v>691</v>
      </c>
      <c r="U275" s="35">
        <v>25</v>
      </c>
      <c r="V275" s="170">
        <f>(G274-X274)/25</f>
        <v>1.6</v>
      </c>
      <c r="W275" s="171" t="str">
        <f>'[1]bang gia'!$C$46</f>
        <v>đồng/cây</v>
      </c>
      <c r="X275" s="175">
        <v>1</v>
      </c>
      <c r="Y275" s="175"/>
      <c r="Z275" s="33"/>
      <c r="AA275" s="39"/>
      <c r="AB275" s="40"/>
      <c r="AC275" s="235"/>
      <c r="AD275" s="235"/>
    </row>
    <row r="276" spans="1:255" s="42" customFormat="1" ht="25.5" customHeight="1">
      <c r="A276" s="229"/>
      <c r="B276" s="267"/>
      <c r="C276" s="267"/>
      <c r="D276" s="267"/>
      <c r="E276" s="268"/>
      <c r="F276" s="268"/>
      <c r="G276" s="279"/>
      <c r="H276" s="232"/>
      <c r="I276" s="307"/>
      <c r="J276" s="277"/>
      <c r="K276" s="33"/>
      <c r="L276" s="233"/>
      <c r="M276" s="234"/>
      <c r="N276" s="234"/>
      <c r="O276" s="234"/>
      <c r="P276" s="234"/>
      <c r="Q276" s="234"/>
      <c r="R276" s="234"/>
      <c r="S276" s="234"/>
      <c r="T276" s="57" t="s">
        <v>399</v>
      </c>
      <c r="U276" s="35"/>
      <c r="V276" s="171"/>
      <c r="W276" s="171" t="str">
        <f>'[1]bang gia'!$C$46</f>
        <v>đồng/cây</v>
      </c>
      <c r="X276" s="175">
        <v>1</v>
      </c>
      <c r="Y276" s="175">
        <v>4500000</v>
      </c>
      <c r="Z276" s="33"/>
      <c r="AA276" s="39">
        <v>1</v>
      </c>
      <c r="AB276" s="40">
        <f>X276*Y276*AA276</f>
        <v>4500000</v>
      </c>
      <c r="AC276" s="235"/>
      <c r="AD276" s="235"/>
    </row>
    <row r="277" spans="1:255" s="42" customFormat="1" ht="36.75" customHeight="1">
      <c r="A277" s="229"/>
      <c r="B277" s="267"/>
      <c r="C277" s="267"/>
      <c r="D277" s="267"/>
      <c r="E277" s="268"/>
      <c r="F277" s="268"/>
      <c r="G277" s="279"/>
      <c r="H277" s="232"/>
      <c r="I277" s="307"/>
      <c r="J277" s="277"/>
      <c r="K277" s="33"/>
      <c r="L277" s="233"/>
      <c r="M277" s="234"/>
      <c r="N277" s="234"/>
      <c r="O277" s="234"/>
      <c r="P277" s="234"/>
      <c r="Q277" s="234"/>
      <c r="R277" s="234"/>
      <c r="S277" s="234"/>
      <c r="T277" s="43" t="s">
        <v>698</v>
      </c>
      <c r="U277" s="44">
        <f>20</f>
        <v>20</v>
      </c>
      <c r="V277" s="170">
        <f>(G274-X274)/20</f>
        <v>2</v>
      </c>
      <c r="W277" s="171" t="str">
        <f>'[1]bang gia'!$C$46</f>
        <v>đồng/cây</v>
      </c>
      <c r="X277" s="40">
        <v>3</v>
      </c>
      <c r="Y277" s="45"/>
      <c r="Z277" s="33"/>
      <c r="AA277" s="39"/>
      <c r="AB277" s="40"/>
      <c r="AC277" s="235"/>
      <c r="AD277" s="235"/>
    </row>
    <row r="278" spans="1:255" s="42" customFormat="1" ht="25.5" customHeight="1">
      <c r="A278" s="229"/>
      <c r="B278" s="267"/>
      <c r="C278" s="267"/>
      <c r="D278" s="267"/>
      <c r="E278" s="268"/>
      <c r="F278" s="268"/>
      <c r="G278" s="279"/>
      <c r="H278" s="232"/>
      <c r="I278" s="307"/>
      <c r="J278" s="277"/>
      <c r="K278" s="33"/>
      <c r="L278" s="233"/>
      <c r="M278" s="234"/>
      <c r="N278" s="234"/>
      <c r="O278" s="234"/>
      <c r="P278" s="234"/>
      <c r="Q278" s="234"/>
      <c r="R278" s="234"/>
      <c r="S278" s="234"/>
      <c r="T278" s="57" t="s">
        <v>399</v>
      </c>
      <c r="U278" s="35"/>
      <c r="V278" s="171"/>
      <c r="W278" s="171" t="str">
        <f>'[1]bang gia'!$C$46</f>
        <v>đồng/cây</v>
      </c>
      <c r="X278" s="175">
        <v>2</v>
      </c>
      <c r="Y278" s="175">
        <v>2500000</v>
      </c>
      <c r="Z278" s="33"/>
      <c r="AA278" s="51">
        <v>0.5</v>
      </c>
      <c r="AB278" s="40">
        <f>X278*Y278*AA278</f>
        <v>2500000</v>
      </c>
      <c r="AC278" s="235"/>
      <c r="AD278" s="235"/>
    </row>
    <row r="279" spans="1:255" s="42" customFormat="1" ht="25.5" customHeight="1">
      <c r="A279" s="229"/>
      <c r="B279" s="267"/>
      <c r="C279" s="267"/>
      <c r="D279" s="267"/>
      <c r="E279" s="268"/>
      <c r="F279" s="268"/>
      <c r="G279" s="279"/>
      <c r="H279" s="232"/>
      <c r="I279" s="307"/>
      <c r="J279" s="277"/>
      <c r="K279" s="33"/>
      <c r="L279" s="233"/>
      <c r="M279" s="234"/>
      <c r="N279" s="234"/>
      <c r="O279" s="234"/>
      <c r="P279" s="234"/>
      <c r="Q279" s="234"/>
      <c r="R279" s="234"/>
      <c r="S279" s="234"/>
      <c r="T279" s="57" t="s">
        <v>417</v>
      </c>
      <c r="U279" s="35"/>
      <c r="V279" s="171"/>
      <c r="W279" s="171" t="str">
        <f>'[1]bang gia'!$C$46</f>
        <v>đồng/cây</v>
      </c>
      <c r="X279" s="175">
        <v>1</v>
      </c>
      <c r="Y279" s="175">
        <v>2500000</v>
      </c>
      <c r="Z279" s="33"/>
      <c r="AA279" s="51">
        <v>0</v>
      </c>
      <c r="AB279" s="40">
        <f>X279*Y279*AA279</f>
        <v>0</v>
      </c>
      <c r="AC279" s="235"/>
      <c r="AD279" s="235"/>
    </row>
    <row r="280" spans="1:255" s="42" customFormat="1" ht="25.5" customHeight="1">
      <c r="A280" s="229"/>
      <c r="B280" s="267"/>
      <c r="C280" s="267"/>
      <c r="D280" s="267"/>
      <c r="E280" s="268"/>
      <c r="F280" s="268"/>
      <c r="G280" s="279"/>
      <c r="H280" s="232"/>
      <c r="I280" s="307"/>
      <c r="J280" s="277"/>
      <c r="K280" s="33"/>
      <c r="L280" s="233"/>
      <c r="M280" s="234"/>
      <c r="N280" s="234"/>
      <c r="O280" s="234"/>
      <c r="P280" s="234"/>
      <c r="Q280" s="234"/>
      <c r="R280" s="234"/>
      <c r="S280" s="234"/>
      <c r="T280" s="49" t="s">
        <v>528</v>
      </c>
      <c r="U280" s="44"/>
      <c r="V280" s="171"/>
      <c r="W280" s="171" t="s">
        <v>7</v>
      </c>
      <c r="X280" s="40"/>
      <c r="Y280" s="45"/>
      <c r="Z280" s="33"/>
      <c r="AA280" s="51">
        <v>0</v>
      </c>
      <c r="AB280" s="40">
        <f>X280*Y280*AA280</f>
        <v>0</v>
      </c>
      <c r="AC280" s="235"/>
      <c r="AD280" s="235"/>
    </row>
    <row r="281" spans="1:255" s="182" customFormat="1" ht="25.5" customHeight="1">
      <c r="A281" s="164"/>
      <c r="B281" s="85" t="s">
        <v>671</v>
      </c>
      <c r="C281" s="85"/>
      <c r="D281" s="85"/>
      <c r="E281" s="164"/>
      <c r="F281" s="164"/>
      <c r="G281" s="164"/>
      <c r="H281" s="164"/>
      <c r="I281" s="314"/>
      <c r="J281" s="163"/>
      <c r="K281" s="164"/>
      <c r="L281" s="164"/>
      <c r="M281" s="164"/>
      <c r="N281" s="164"/>
      <c r="O281" s="164"/>
      <c r="P281" s="164"/>
      <c r="Q281" s="164"/>
      <c r="R281" s="164"/>
      <c r="S281" s="164"/>
      <c r="T281" s="85"/>
      <c r="U281" s="164"/>
      <c r="V281" s="164"/>
      <c r="W281" s="164"/>
      <c r="X281" s="85"/>
      <c r="Y281" s="164"/>
      <c r="Z281" s="85"/>
      <c r="AA281" s="85"/>
      <c r="AB281" s="85"/>
      <c r="AC281" s="164"/>
      <c r="AD281" s="164"/>
    </row>
    <row r="282" spans="1:255" s="183" customFormat="1" ht="36" customHeight="1">
      <c r="A282" s="269">
        <v>25</v>
      </c>
      <c r="B282" s="266" t="s">
        <v>672</v>
      </c>
      <c r="C282" s="300">
        <v>65</v>
      </c>
      <c r="D282" s="300">
        <v>33</v>
      </c>
      <c r="E282" s="300">
        <v>217.5</v>
      </c>
      <c r="F282" s="300" t="s">
        <v>393</v>
      </c>
      <c r="G282" s="269">
        <v>216</v>
      </c>
      <c r="H282" s="298">
        <f>E282-G282</f>
        <v>1.5</v>
      </c>
      <c r="I282" s="315">
        <v>216</v>
      </c>
      <c r="J282" s="269">
        <v>1080</v>
      </c>
      <c r="K282" s="269"/>
      <c r="L282" s="259">
        <f>I282/J282*100</f>
        <v>20</v>
      </c>
      <c r="M282" s="250">
        <f>IF(L282&lt;10,2,IF(L282&lt;20,3,IF(L282&lt;30,5,IF(L282&gt;=70,12,IF(L282&gt;=30,6)))))</f>
        <v>5</v>
      </c>
      <c r="N282" s="250">
        <v>4</v>
      </c>
      <c r="O282" s="250">
        <f>$O$7</f>
        <v>80000</v>
      </c>
      <c r="P282" s="250">
        <f>I282*O282</f>
        <v>17280000</v>
      </c>
      <c r="Q282" s="250">
        <f>P282*3</f>
        <v>51840000</v>
      </c>
      <c r="R282" s="250">
        <f>M282*N282*$R$7</f>
        <v>10200000</v>
      </c>
      <c r="S282" s="250">
        <f>R282+Q282+P282</f>
        <v>79320000</v>
      </c>
      <c r="T282" s="165" t="s">
        <v>727</v>
      </c>
      <c r="U282" s="163"/>
      <c r="V282" s="163"/>
      <c r="W282" s="44" t="s">
        <v>0</v>
      </c>
      <c r="X282" s="162">
        <v>216</v>
      </c>
      <c r="Y282" s="162">
        <v>97000</v>
      </c>
      <c r="Z282" s="84"/>
      <c r="AA282" s="71">
        <v>1</v>
      </c>
      <c r="AB282" s="161">
        <f t="shared" ref="AB282:AB283" si="12">X282*Y282*AA282</f>
        <v>20952000</v>
      </c>
      <c r="AC282" s="250">
        <f>AB282+AB283</f>
        <v>20952000</v>
      </c>
      <c r="AD282" s="285">
        <f>AC282+S282</f>
        <v>100272000</v>
      </c>
      <c r="AE282" s="302" t="s">
        <v>676</v>
      </c>
      <c r="AJ282" s="183" t="s">
        <v>673</v>
      </c>
    </row>
    <row r="283" spans="1:255" s="183" customFormat="1" ht="27" customHeight="1">
      <c r="A283" s="269"/>
      <c r="B283" s="266"/>
      <c r="C283" s="300"/>
      <c r="D283" s="300"/>
      <c r="E283" s="300"/>
      <c r="F283" s="300"/>
      <c r="G283" s="269"/>
      <c r="H283" s="299"/>
      <c r="I283" s="315"/>
      <c r="J283" s="269"/>
      <c r="K283" s="269"/>
      <c r="L283" s="259"/>
      <c r="M283" s="250"/>
      <c r="N283" s="250"/>
      <c r="O283" s="250"/>
      <c r="P283" s="250"/>
      <c r="Q283" s="250"/>
      <c r="R283" s="250"/>
      <c r="S283" s="250"/>
      <c r="T283" s="165" t="s">
        <v>674</v>
      </c>
      <c r="U283" s="163"/>
      <c r="V283" s="163"/>
      <c r="W283" s="160" t="s">
        <v>675</v>
      </c>
      <c r="X283" s="168">
        <v>3.6</v>
      </c>
      <c r="Y283" s="45">
        <v>0</v>
      </c>
      <c r="Z283" s="84"/>
      <c r="AA283" s="161">
        <v>0</v>
      </c>
      <c r="AB283" s="161">
        <f t="shared" si="12"/>
        <v>0</v>
      </c>
      <c r="AC283" s="269"/>
      <c r="AD283" s="301"/>
      <c r="AE283" s="303"/>
    </row>
    <row r="284" spans="1:255" s="191" customFormat="1" ht="27" customHeight="1">
      <c r="A284" s="184"/>
      <c r="B284" s="185" t="s">
        <v>398</v>
      </c>
      <c r="C284" s="186"/>
      <c r="D284" s="186"/>
      <c r="E284" s="186"/>
      <c r="F284" s="186"/>
      <c r="G284" s="184"/>
      <c r="H284" s="187"/>
      <c r="I284" s="316"/>
      <c r="J284" s="160"/>
      <c r="K284" s="184"/>
      <c r="L284" s="188"/>
      <c r="M284" s="178"/>
      <c r="N284" s="178"/>
      <c r="O284" s="178"/>
      <c r="P284" s="178"/>
      <c r="Q284" s="178"/>
      <c r="R284" s="178"/>
      <c r="S284" s="178"/>
      <c r="T284" s="30"/>
      <c r="U284" s="187"/>
      <c r="V284" s="187"/>
      <c r="W284" s="184"/>
      <c r="X284" s="178"/>
      <c r="Y284" s="178"/>
      <c r="Z284" s="189"/>
      <c r="AA284" s="164"/>
      <c r="AB284" s="169"/>
      <c r="AC284" s="178"/>
      <c r="AD284" s="178"/>
      <c r="AE284" s="190"/>
    </row>
    <row r="285" spans="1:255" s="74" customFormat="1" ht="32.25" customHeight="1">
      <c r="A285" s="269">
        <v>26</v>
      </c>
      <c r="B285" s="266" t="s">
        <v>445</v>
      </c>
      <c r="C285" s="264">
        <v>64</v>
      </c>
      <c r="D285" s="264">
        <v>422</v>
      </c>
      <c r="E285" s="264">
        <v>636.5</v>
      </c>
      <c r="F285" s="264" t="s">
        <v>26</v>
      </c>
      <c r="G285" s="264">
        <v>648</v>
      </c>
      <c r="H285" s="264">
        <f>E285-G285</f>
        <v>-11.5</v>
      </c>
      <c r="I285" s="317">
        <f>G285+G289</f>
        <v>1008</v>
      </c>
      <c r="J285" s="249">
        <v>3240</v>
      </c>
      <c r="K285" s="264"/>
      <c r="L285" s="258">
        <f>I285/J285*100</f>
        <v>31.111111111111111</v>
      </c>
      <c r="M285" s="284">
        <v>6</v>
      </c>
      <c r="N285" s="284">
        <v>7</v>
      </c>
      <c r="O285" s="249">
        <v>80000</v>
      </c>
      <c r="P285" s="249">
        <f>O285*I285</f>
        <v>80640000</v>
      </c>
      <c r="Q285" s="249">
        <f>P285*3</f>
        <v>241920000</v>
      </c>
      <c r="R285" s="249">
        <f>M285*N285*R7</f>
        <v>21420000</v>
      </c>
      <c r="S285" s="249">
        <f>SUM(P285:R290)</f>
        <v>343980000</v>
      </c>
      <c r="T285" s="59" t="s">
        <v>410</v>
      </c>
      <c r="U285" s="72">
        <v>25</v>
      </c>
      <c r="V285" s="72">
        <f>G285/U285</f>
        <v>25.92</v>
      </c>
      <c r="W285" s="163" t="s">
        <v>2</v>
      </c>
      <c r="X285" s="161">
        <v>30</v>
      </c>
      <c r="Y285" s="45"/>
      <c r="Z285" s="73"/>
      <c r="AA285" s="65"/>
      <c r="AB285" s="161">
        <f t="shared" ref="AB285:AB287" si="13">X285*Y285*AA285</f>
        <v>0</v>
      </c>
      <c r="AC285" s="249">
        <f>SUM(AB285:AB288)</f>
        <v>126000000</v>
      </c>
      <c r="AD285" s="252">
        <f>S285+AC285+AC289</f>
        <v>504900000</v>
      </c>
      <c r="AE285" s="26" t="s">
        <v>419</v>
      </c>
    </row>
    <row r="286" spans="1:255" s="74" customFormat="1" ht="21" customHeight="1">
      <c r="A286" s="269"/>
      <c r="B286" s="266"/>
      <c r="C286" s="264"/>
      <c r="D286" s="264"/>
      <c r="E286" s="264"/>
      <c r="F286" s="264"/>
      <c r="G286" s="264"/>
      <c r="H286" s="264"/>
      <c r="I286" s="317"/>
      <c r="J286" s="249"/>
      <c r="K286" s="264"/>
      <c r="L286" s="258"/>
      <c r="M286" s="284"/>
      <c r="N286" s="284"/>
      <c r="O286" s="249"/>
      <c r="P286" s="249"/>
      <c r="Q286" s="249"/>
      <c r="R286" s="249"/>
      <c r="S286" s="249"/>
      <c r="T286" s="57" t="s">
        <v>399</v>
      </c>
      <c r="U286" s="72"/>
      <c r="V286" s="72"/>
      <c r="W286" s="163" t="s">
        <v>2</v>
      </c>
      <c r="X286" s="161">
        <v>26</v>
      </c>
      <c r="Y286" s="45">
        <v>4500000</v>
      </c>
      <c r="Z286" s="73"/>
      <c r="AA286" s="65">
        <v>1</v>
      </c>
      <c r="AB286" s="161">
        <f t="shared" si="13"/>
        <v>117000000</v>
      </c>
      <c r="AC286" s="249"/>
      <c r="AD286" s="252"/>
      <c r="AE286" s="26"/>
    </row>
    <row r="287" spans="1:255" s="74" customFormat="1" ht="21" customHeight="1">
      <c r="A287" s="269"/>
      <c r="B287" s="266"/>
      <c r="C287" s="264"/>
      <c r="D287" s="264"/>
      <c r="E287" s="264"/>
      <c r="F287" s="264"/>
      <c r="G287" s="264"/>
      <c r="H287" s="264"/>
      <c r="I287" s="317"/>
      <c r="J287" s="249"/>
      <c r="K287" s="264"/>
      <c r="L287" s="258"/>
      <c r="M287" s="284"/>
      <c r="N287" s="284"/>
      <c r="O287" s="249"/>
      <c r="P287" s="249"/>
      <c r="Q287" s="249"/>
      <c r="R287" s="249"/>
      <c r="S287" s="249"/>
      <c r="T287" s="57" t="s">
        <v>401</v>
      </c>
      <c r="U287" s="72"/>
      <c r="V287" s="72">
        <f>0.3*V285</f>
        <v>7.7759999999999998</v>
      </c>
      <c r="W287" s="163" t="s">
        <v>2</v>
      </c>
      <c r="X287" s="161">
        <v>4</v>
      </c>
      <c r="Y287" s="45">
        <v>4500000</v>
      </c>
      <c r="Z287" s="63"/>
      <c r="AA287" s="75">
        <v>0.5</v>
      </c>
      <c r="AB287" s="161">
        <f t="shared" si="13"/>
        <v>9000000</v>
      </c>
      <c r="AC287" s="249"/>
      <c r="AD287" s="252"/>
      <c r="AE287" s="26"/>
    </row>
    <row r="288" spans="1:255" s="74" customFormat="1" ht="21" customHeight="1">
      <c r="A288" s="269"/>
      <c r="B288" s="266"/>
      <c r="C288" s="264"/>
      <c r="D288" s="264"/>
      <c r="E288" s="264"/>
      <c r="F288" s="264"/>
      <c r="G288" s="264"/>
      <c r="H288" s="264"/>
      <c r="I288" s="317"/>
      <c r="J288" s="249"/>
      <c r="K288" s="264"/>
      <c r="L288" s="258"/>
      <c r="M288" s="284"/>
      <c r="N288" s="284"/>
      <c r="O288" s="249"/>
      <c r="P288" s="249"/>
      <c r="Q288" s="249"/>
      <c r="R288" s="249"/>
      <c r="S288" s="249"/>
      <c r="T288" s="165" t="s">
        <v>423</v>
      </c>
      <c r="U288" s="72"/>
      <c r="V288" s="72"/>
      <c r="W288" s="163" t="s">
        <v>395</v>
      </c>
      <c r="X288" s="161">
        <v>1</v>
      </c>
      <c r="Y288" s="45"/>
      <c r="Z288" s="77"/>
      <c r="AA288" s="65">
        <v>0</v>
      </c>
      <c r="AB288" s="161">
        <f t="shared" ref="AB288" si="14">X288*Y288*AA288/100</f>
        <v>0</v>
      </c>
      <c r="AC288" s="249"/>
      <c r="AD288" s="252"/>
      <c r="AE288" s="26"/>
    </row>
    <row r="289" spans="1:32" s="74" customFormat="1" ht="33" customHeight="1">
      <c r="A289" s="269"/>
      <c r="B289" s="266"/>
      <c r="C289" s="269">
        <v>64</v>
      </c>
      <c r="D289" s="269">
        <v>803</v>
      </c>
      <c r="E289" s="269">
        <v>360.1</v>
      </c>
      <c r="F289" s="269" t="s">
        <v>393</v>
      </c>
      <c r="G289" s="250">
        <v>360</v>
      </c>
      <c r="H289" s="283">
        <f>E289-G289</f>
        <v>0.10000000000002274</v>
      </c>
      <c r="I289" s="317"/>
      <c r="J289" s="249"/>
      <c r="K289" s="283"/>
      <c r="L289" s="258"/>
      <c r="M289" s="284"/>
      <c r="N289" s="284"/>
      <c r="O289" s="249"/>
      <c r="P289" s="249"/>
      <c r="Q289" s="249"/>
      <c r="R289" s="249"/>
      <c r="S289" s="249"/>
      <c r="T289" s="43" t="s">
        <v>702</v>
      </c>
      <c r="U289" s="78"/>
      <c r="V289" s="78"/>
      <c r="W289" s="163" t="s">
        <v>0</v>
      </c>
      <c r="X289" s="168">
        <v>360</v>
      </c>
      <c r="Y289" s="45">
        <v>97000</v>
      </c>
      <c r="Z289" s="63"/>
      <c r="AA289" s="75">
        <v>1</v>
      </c>
      <c r="AB289" s="161">
        <f>X289*Y289*AA289</f>
        <v>34920000</v>
      </c>
      <c r="AC289" s="249">
        <f>SUM(AB289:AB290)</f>
        <v>34920000</v>
      </c>
      <c r="AD289" s="252"/>
      <c r="AE289" s="80"/>
    </row>
    <row r="290" spans="1:32" s="74" customFormat="1" ht="24.75" customHeight="1">
      <c r="A290" s="269"/>
      <c r="B290" s="266"/>
      <c r="C290" s="269"/>
      <c r="D290" s="269"/>
      <c r="E290" s="269"/>
      <c r="F290" s="269"/>
      <c r="G290" s="250"/>
      <c r="H290" s="283"/>
      <c r="I290" s="317"/>
      <c r="J290" s="249"/>
      <c r="K290" s="283"/>
      <c r="L290" s="258"/>
      <c r="M290" s="284"/>
      <c r="N290" s="284"/>
      <c r="O290" s="249"/>
      <c r="P290" s="249"/>
      <c r="Q290" s="249"/>
      <c r="R290" s="249"/>
      <c r="S290" s="249"/>
      <c r="T290" s="165" t="s">
        <v>446</v>
      </c>
      <c r="U290" s="72"/>
      <c r="V290" s="72"/>
      <c r="W290" s="35" t="s">
        <v>7</v>
      </c>
      <c r="X290" s="168">
        <v>26</v>
      </c>
      <c r="Y290" s="81"/>
      <c r="Z290" s="77"/>
      <c r="AA290" s="65">
        <v>0</v>
      </c>
      <c r="AB290" s="161">
        <f t="shared" ref="AB290" si="15">X290*Y290*AA290/100</f>
        <v>0</v>
      </c>
      <c r="AC290" s="249"/>
      <c r="AD290" s="252"/>
      <c r="AE290" s="26"/>
    </row>
    <row r="291" spans="1:32" s="74" customFormat="1" ht="21" customHeight="1">
      <c r="A291" s="269">
        <v>27</v>
      </c>
      <c r="B291" s="266" t="s">
        <v>447</v>
      </c>
      <c r="C291" s="264">
        <v>64</v>
      </c>
      <c r="D291" s="264">
        <v>426</v>
      </c>
      <c r="E291" s="264">
        <v>282.3</v>
      </c>
      <c r="F291" s="264" t="s">
        <v>26</v>
      </c>
      <c r="G291" s="249">
        <v>288</v>
      </c>
      <c r="H291" s="263">
        <f>E291-G291</f>
        <v>-5.6999999999999886</v>
      </c>
      <c r="I291" s="317">
        <v>288</v>
      </c>
      <c r="J291" s="249">
        <v>1368</v>
      </c>
      <c r="K291" s="264"/>
      <c r="L291" s="258">
        <f>I291/J291*100</f>
        <v>21.052631578947366</v>
      </c>
      <c r="M291" s="249">
        <v>5</v>
      </c>
      <c r="N291" s="249">
        <v>1</v>
      </c>
      <c r="O291" s="249">
        <v>80000</v>
      </c>
      <c r="P291" s="249">
        <f>O291*I291</f>
        <v>23040000</v>
      </c>
      <c r="Q291" s="249">
        <f>P291*3</f>
        <v>69120000</v>
      </c>
      <c r="R291" s="249">
        <f>M291*N291*R7</f>
        <v>2550000</v>
      </c>
      <c r="S291" s="249">
        <f>SUM(P291:R295)</f>
        <v>94710000</v>
      </c>
      <c r="T291" s="59" t="s">
        <v>406</v>
      </c>
      <c r="U291" s="72"/>
      <c r="V291" s="72"/>
      <c r="W291" s="163" t="s">
        <v>0</v>
      </c>
      <c r="X291" s="179">
        <v>280</v>
      </c>
      <c r="Y291" s="45">
        <v>180000</v>
      </c>
      <c r="Z291" s="77"/>
      <c r="AA291" s="65">
        <v>1</v>
      </c>
      <c r="AB291" s="161">
        <f t="shared" ref="AB291:AB295" si="16">X291*Y291*AA291</f>
        <v>50400000</v>
      </c>
      <c r="AC291" s="249">
        <f>SUM(AB291:AB295)</f>
        <v>50400000</v>
      </c>
      <c r="AD291" s="252">
        <f>S291+AC291</f>
        <v>145110000</v>
      </c>
      <c r="AE291" s="26"/>
    </row>
    <row r="292" spans="1:32" s="74" customFormat="1" ht="21" customHeight="1">
      <c r="A292" s="269"/>
      <c r="B292" s="266"/>
      <c r="C292" s="264"/>
      <c r="D292" s="264"/>
      <c r="E292" s="264"/>
      <c r="F292" s="264"/>
      <c r="G292" s="249"/>
      <c r="H292" s="263"/>
      <c r="I292" s="317"/>
      <c r="J292" s="249"/>
      <c r="K292" s="264"/>
      <c r="L292" s="258"/>
      <c r="M292" s="249"/>
      <c r="N292" s="249"/>
      <c r="O292" s="249"/>
      <c r="P292" s="249"/>
      <c r="Q292" s="249"/>
      <c r="R292" s="249"/>
      <c r="S292" s="249"/>
      <c r="T292" s="84" t="s">
        <v>422</v>
      </c>
      <c r="U292" s="72"/>
      <c r="V292" s="72"/>
      <c r="W292" s="35" t="s">
        <v>7</v>
      </c>
      <c r="X292" s="168">
        <v>0.4</v>
      </c>
      <c r="Y292" s="45"/>
      <c r="Z292" s="63"/>
      <c r="AA292" s="75">
        <v>0</v>
      </c>
      <c r="AB292" s="161">
        <f t="shared" si="16"/>
        <v>0</v>
      </c>
      <c r="AC292" s="249"/>
      <c r="AD292" s="252"/>
      <c r="AE292" s="26"/>
    </row>
    <row r="293" spans="1:32" s="74" customFormat="1" ht="46.5" customHeight="1">
      <c r="A293" s="269"/>
      <c r="B293" s="266"/>
      <c r="C293" s="264"/>
      <c r="D293" s="264"/>
      <c r="E293" s="264"/>
      <c r="F293" s="264"/>
      <c r="G293" s="249"/>
      <c r="H293" s="263"/>
      <c r="I293" s="317"/>
      <c r="J293" s="249"/>
      <c r="K293" s="264"/>
      <c r="L293" s="258"/>
      <c r="M293" s="249"/>
      <c r="N293" s="249"/>
      <c r="O293" s="249"/>
      <c r="P293" s="249"/>
      <c r="Q293" s="249"/>
      <c r="R293" s="249"/>
      <c r="S293" s="249"/>
      <c r="T293" s="165" t="s">
        <v>448</v>
      </c>
      <c r="U293" s="72"/>
      <c r="V293" s="72"/>
      <c r="W293" s="163" t="s">
        <v>0</v>
      </c>
      <c r="X293" s="161">
        <v>12</v>
      </c>
      <c r="Y293" s="45"/>
      <c r="Z293" s="63"/>
      <c r="AA293" s="75">
        <v>0</v>
      </c>
      <c r="AB293" s="161">
        <f t="shared" si="16"/>
        <v>0</v>
      </c>
      <c r="AC293" s="249"/>
      <c r="AD293" s="252"/>
      <c r="AE293" s="26"/>
    </row>
    <row r="294" spans="1:32" s="74" customFormat="1" ht="69.75" customHeight="1">
      <c r="A294" s="269"/>
      <c r="B294" s="266"/>
      <c r="C294" s="264"/>
      <c r="D294" s="264"/>
      <c r="E294" s="264"/>
      <c r="F294" s="264"/>
      <c r="G294" s="249"/>
      <c r="H294" s="263"/>
      <c r="I294" s="317"/>
      <c r="J294" s="249"/>
      <c r="K294" s="264"/>
      <c r="L294" s="258"/>
      <c r="M294" s="249"/>
      <c r="N294" s="249"/>
      <c r="O294" s="249"/>
      <c r="P294" s="249"/>
      <c r="Q294" s="249"/>
      <c r="R294" s="249"/>
      <c r="S294" s="249"/>
      <c r="T294" s="165" t="s">
        <v>449</v>
      </c>
      <c r="U294" s="72"/>
      <c r="V294" s="72"/>
      <c r="W294" s="163" t="s">
        <v>0</v>
      </c>
      <c r="X294" s="161">
        <v>7</v>
      </c>
      <c r="Y294" s="45"/>
      <c r="Z294" s="63"/>
      <c r="AA294" s="75">
        <v>0</v>
      </c>
      <c r="AB294" s="161">
        <f t="shared" si="16"/>
        <v>0</v>
      </c>
      <c r="AC294" s="249"/>
      <c r="AD294" s="252"/>
      <c r="AE294" s="26"/>
    </row>
    <row r="295" spans="1:32" s="74" customFormat="1" ht="21" customHeight="1">
      <c r="A295" s="269"/>
      <c r="B295" s="266"/>
      <c r="C295" s="264"/>
      <c r="D295" s="264"/>
      <c r="E295" s="264"/>
      <c r="F295" s="264"/>
      <c r="G295" s="249"/>
      <c r="H295" s="263"/>
      <c r="I295" s="317"/>
      <c r="J295" s="249"/>
      <c r="K295" s="264"/>
      <c r="L295" s="258"/>
      <c r="M295" s="249"/>
      <c r="N295" s="249"/>
      <c r="O295" s="249"/>
      <c r="P295" s="249"/>
      <c r="Q295" s="249"/>
      <c r="R295" s="249"/>
      <c r="S295" s="249"/>
      <c r="T295" s="165" t="s">
        <v>403</v>
      </c>
      <c r="U295" s="72"/>
      <c r="V295" s="72"/>
      <c r="W295" s="163" t="s">
        <v>395</v>
      </c>
      <c r="X295" s="161">
        <v>1</v>
      </c>
      <c r="Y295" s="45"/>
      <c r="Z295" s="63"/>
      <c r="AA295" s="75">
        <v>0</v>
      </c>
      <c r="AB295" s="161">
        <f t="shared" si="16"/>
        <v>0</v>
      </c>
      <c r="AC295" s="249"/>
      <c r="AD295" s="252"/>
      <c r="AE295" s="26"/>
    </row>
    <row r="296" spans="1:32" s="74" customFormat="1" ht="21.75" customHeight="1">
      <c r="A296" s="269">
        <v>28</v>
      </c>
      <c r="B296" s="266" t="s">
        <v>450</v>
      </c>
      <c r="C296" s="264">
        <v>64</v>
      </c>
      <c r="D296" s="264">
        <v>469</v>
      </c>
      <c r="E296" s="264">
        <v>540.20000000000005</v>
      </c>
      <c r="F296" s="264" t="s">
        <v>26</v>
      </c>
      <c r="G296" s="264">
        <v>540</v>
      </c>
      <c r="H296" s="264">
        <f>E296-G296</f>
        <v>0.20000000000004547</v>
      </c>
      <c r="I296" s="318">
        <v>540</v>
      </c>
      <c r="J296" s="264">
        <v>1332</v>
      </c>
      <c r="K296" s="264"/>
      <c r="L296" s="264">
        <v>40.5</v>
      </c>
      <c r="M296" s="264">
        <v>6</v>
      </c>
      <c r="N296" s="264">
        <v>4</v>
      </c>
      <c r="O296" s="249">
        <v>80000</v>
      </c>
      <c r="P296" s="249">
        <f>O296*I296</f>
        <v>43200000</v>
      </c>
      <c r="Q296" s="249">
        <f>P296*3</f>
        <v>129600000</v>
      </c>
      <c r="R296" s="249">
        <f>M296*N296*R7</f>
        <v>12240000</v>
      </c>
      <c r="S296" s="249">
        <f>SUM(P296:R302)</f>
        <v>185040000</v>
      </c>
      <c r="T296" s="59" t="s">
        <v>406</v>
      </c>
      <c r="U296" s="72"/>
      <c r="V296" s="72"/>
      <c r="W296" s="163" t="s">
        <v>0</v>
      </c>
      <c r="X296" s="179">
        <v>180</v>
      </c>
      <c r="Y296" s="45">
        <v>180000</v>
      </c>
      <c r="Z296" s="77"/>
      <c r="AA296" s="65">
        <v>1</v>
      </c>
      <c r="AB296" s="161">
        <f t="shared" ref="AB296" si="17">X296*Y296*AA296</f>
        <v>32400000</v>
      </c>
      <c r="AC296" s="249">
        <f>SUM(AB296:AB302)</f>
        <v>52675000</v>
      </c>
      <c r="AD296" s="285">
        <f>S296+AC296</f>
        <v>237715000</v>
      </c>
      <c r="AE296" s="26"/>
      <c r="AF296" s="286"/>
    </row>
    <row r="297" spans="1:32" s="74" customFormat="1" ht="38.25" customHeight="1">
      <c r="A297" s="269"/>
      <c r="B297" s="266"/>
      <c r="C297" s="264"/>
      <c r="D297" s="264"/>
      <c r="E297" s="264"/>
      <c r="F297" s="264"/>
      <c r="G297" s="264"/>
      <c r="H297" s="264"/>
      <c r="I297" s="318"/>
      <c r="J297" s="264"/>
      <c r="K297" s="264"/>
      <c r="L297" s="264"/>
      <c r="M297" s="264"/>
      <c r="N297" s="264"/>
      <c r="O297" s="249"/>
      <c r="P297" s="249"/>
      <c r="Q297" s="249"/>
      <c r="R297" s="249"/>
      <c r="S297" s="249"/>
      <c r="T297" s="43" t="s">
        <v>408</v>
      </c>
      <c r="U297" s="72">
        <v>4</v>
      </c>
      <c r="V297" s="72">
        <f>(I296-X296)/U297</f>
        <v>90</v>
      </c>
      <c r="W297" s="163" t="s">
        <v>392</v>
      </c>
      <c r="X297" s="161">
        <v>100</v>
      </c>
      <c r="Y297" s="45"/>
      <c r="Z297" s="77"/>
      <c r="AA297" s="65"/>
      <c r="AB297" s="161"/>
      <c r="AC297" s="249"/>
      <c r="AD297" s="285"/>
      <c r="AE297" s="26" t="s">
        <v>431</v>
      </c>
      <c r="AF297" s="287"/>
    </row>
    <row r="298" spans="1:32" s="74" customFormat="1" ht="21.75" customHeight="1">
      <c r="A298" s="269"/>
      <c r="B298" s="266"/>
      <c r="C298" s="264"/>
      <c r="D298" s="264"/>
      <c r="E298" s="264"/>
      <c r="F298" s="264"/>
      <c r="G298" s="264"/>
      <c r="H298" s="264"/>
      <c r="I298" s="318"/>
      <c r="J298" s="264"/>
      <c r="K298" s="264"/>
      <c r="L298" s="264"/>
      <c r="M298" s="264"/>
      <c r="N298" s="264"/>
      <c r="O298" s="249"/>
      <c r="P298" s="249"/>
      <c r="Q298" s="249"/>
      <c r="R298" s="249"/>
      <c r="S298" s="249"/>
      <c r="T298" s="57" t="s">
        <v>399</v>
      </c>
      <c r="U298" s="72"/>
      <c r="V298" s="72"/>
      <c r="W298" s="163" t="s">
        <v>392</v>
      </c>
      <c r="X298" s="161">
        <v>90</v>
      </c>
      <c r="Y298" s="45">
        <v>200000</v>
      </c>
      <c r="Z298" s="77"/>
      <c r="AA298" s="65">
        <v>1</v>
      </c>
      <c r="AB298" s="161">
        <f>X298*Y298*AA298</f>
        <v>18000000</v>
      </c>
      <c r="AC298" s="249"/>
      <c r="AD298" s="285"/>
      <c r="AE298" s="26"/>
      <c r="AF298" s="287"/>
    </row>
    <row r="299" spans="1:32" s="74" customFormat="1" ht="21.75" customHeight="1">
      <c r="A299" s="269"/>
      <c r="B299" s="266"/>
      <c r="C299" s="264"/>
      <c r="D299" s="264"/>
      <c r="E299" s="264"/>
      <c r="F299" s="264"/>
      <c r="G299" s="264"/>
      <c r="H299" s="264"/>
      <c r="I299" s="318"/>
      <c r="J299" s="264"/>
      <c r="K299" s="264"/>
      <c r="L299" s="264"/>
      <c r="M299" s="264"/>
      <c r="N299" s="264"/>
      <c r="O299" s="249"/>
      <c r="P299" s="249"/>
      <c r="Q299" s="249"/>
      <c r="R299" s="249"/>
      <c r="S299" s="249"/>
      <c r="T299" s="57" t="s">
        <v>401</v>
      </c>
      <c r="U299" s="72"/>
      <c r="V299" s="72">
        <f>0.3*V297</f>
        <v>27</v>
      </c>
      <c r="W299" s="163" t="s">
        <v>392</v>
      </c>
      <c r="X299" s="161">
        <v>10</v>
      </c>
      <c r="Y299" s="45">
        <v>200000</v>
      </c>
      <c r="Z299" s="77"/>
      <c r="AA299" s="65">
        <v>0.5</v>
      </c>
      <c r="AB299" s="161">
        <f>X299*Y299*AA299</f>
        <v>1000000</v>
      </c>
      <c r="AC299" s="249"/>
      <c r="AD299" s="285"/>
      <c r="AE299" s="26"/>
      <c r="AF299" s="287"/>
    </row>
    <row r="300" spans="1:32" s="74" customFormat="1" ht="40.5" customHeight="1">
      <c r="A300" s="269"/>
      <c r="B300" s="266"/>
      <c r="C300" s="264"/>
      <c r="D300" s="264"/>
      <c r="E300" s="264"/>
      <c r="F300" s="264"/>
      <c r="G300" s="264"/>
      <c r="H300" s="264"/>
      <c r="I300" s="318"/>
      <c r="J300" s="264"/>
      <c r="K300" s="264"/>
      <c r="L300" s="264"/>
      <c r="M300" s="264"/>
      <c r="N300" s="264"/>
      <c r="O300" s="249"/>
      <c r="P300" s="249"/>
      <c r="Q300" s="249"/>
      <c r="R300" s="249"/>
      <c r="S300" s="249"/>
      <c r="T300" s="43" t="s">
        <v>489</v>
      </c>
      <c r="U300" s="72"/>
      <c r="V300" s="72"/>
      <c r="W300" s="163" t="s">
        <v>392</v>
      </c>
      <c r="X300" s="161">
        <v>80</v>
      </c>
      <c r="Y300" s="45"/>
      <c r="Z300" s="77"/>
      <c r="AA300" s="65"/>
      <c r="AB300" s="161"/>
      <c r="AC300" s="249"/>
      <c r="AD300" s="285"/>
      <c r="AE300" s="26"/>
      <c r="AF300" s="287"/>
    </row>
    <row r="301" spans="1:32" s="74" customFormat="1" ht="21.75" customHeight="1">
      <c r="A301" s="269"/>
      <c r="B301" s="266"/>
      <c r="C301" s="264"/>
      <c r="D301" s="264"/>
      <c r="E301" s="264"/>
      <c r="F301" s="264"/>
      <c r="G301" s="264"/>
      <c r="H301" s="264"/>
      <c r="I301" s="318"/>
      <c r="J301" s="264"/>
      <c r="K301" s="264"/>
      <c r="L301" s="264"/>
      <c r="M301" s="264"/>
      <c r="N301" s="264"/>
      <c r="O301" s="249"/>
      <c r="P301" s="249"/>
      <c r="Q301" s="249"/>
      <c r="R301" s="249"/>
      <c r="S301" s="249"/>
      <c r="T301" s="57" t="s">
        <v>401</v>
      </c>
      <c r="U301" s="72"/>
      <c r="V301" s="72"/>
      <c r="W301" s="163" t="s">
        <v>392</v>
      </c>
      <c r="X301" s="161">
        <v>17</v>
      </c>
      <c r="Y301" s="45">
        <v>150000</v>
      </c>
      <c r="Z301" s="77"/>
      <c r="AA301" s="65">
        <v>0.5</v>
      </c>
      <c r="AB301" s="161">
        <f>X301*Y301*AA301</f>
        <v>1275000</v>
      </c>
      <c r="AC301" s="249"/>
      <c r="AD301" s="285"/>
      <c r="AE301" s="26"/>
      <c r="AF301" s="287"/>
    </row>
    <row r="302" spans="1:32" s="74" customFormat="1" ht="21.75" customHeight="1">
      <c r="A302" s="269"/>
      <c r="B302" s="266"/>
      <c r="C302" s="264"/>
      <c r="D302" s="264"/>
      <c r="E302" s="264"/>
      <c r="F302" s="264"/>
      <c r="G302" s="264"/>
      <c r="H302" s="264"/>
      <c r="I302" s="318"/>
      <c r="J302" s="264"/>
      <c r="K302" s="264"/>
      <c r="L302" s="264"/>
      <c r="M302" s="264"/>
      <c r="N302" s="264"/>
      <c r="O302" s="249"/>
      <c r="P302" s="249"/>
      <c r="Q302" s="249"/>
      <c r="R302" s="249"/>
      <c r="S302" s="249"/>
      <c r="T302" s="57" t="s">
        <v>402</v>
      </c>
      <c r="U302" s="72"/>
      <c r="V302" s="72"/>
      <c r="W302" s="163" t="s">
        <v>392</v>
      </c>
      <c r="X302" s="161">
        <f>X300-X301</f>
        <v>63</v>
      </c>
      <c r="Y302" s="45">
        <v>150000</v>
      </c>
      <c r="Z302" s="77"/>
      <c r="AA302" s="65">
        <v>0</v>
      </c>
      <c r="AB302" s="161">
        <v>0</v>
      </c>
      <c r="AC302" s="249"/>
      <c r="AD302" s="285"/>
      <c r="AE302" s="26"/>
      <c r="AF302" s="287"/>
    </row>
    <row r="303" spans="1:32" s="74" customFormat="1" ht="44.25" customHeight="1">
      <c r="A303" s="269">
        <v>29</v>
      </c>
      <c r="B303" s="266" t="s">
        <v>451</v>
      </c>
      <c r="C303" s="264">
        <v>64</v>
      </c>
      <c r="D303" s="264">
        <v>470</v>
      </c>
      <c r="E303" s="264">
        <v>611.6</v>
      </c>
      <c r="F303" s="264" t="s">
        <v>26</v>
      </c>
      <c r="G303" s="249">
        <v>612</v>
      </c>
      <c r="H303" s="263">
        <f>E303-G303</f>
        <v>-0.39999999999997726</v>
      </c>
      <c r="I303" s="317">
        <v>612</v>
      </c>
      <c r="J303" s="249">
        <v>720</v>
      </c>
      <c r="K303" s="264"/>
      <c r="L303" s="264">
        <f>I303/J303*100</f>
        <v>85</v>
      </c>
      <c r="M303" s="249">
        <v>12</v>
      </c>
      <c r="N303" s="249">
        <v>1</v>
      </c>
      <c r="O303" s="249">
        <v>80000</v>
      </c>
      <c r="P303" s="249">
        <f>O303*I303</f>
        <v>48960000</v>
      </c>
      <c r="Q303" s="249">
        <f>P303*3</f>
        <v>146880000</v>
      </c>
      <c r="R303" s="249">
        <f>M303*N303*R7</f>
        <v>6120000</v>
      </c>
      <c r="S303" s="249">
        <f>SUM(P303:R313)</f>
        <v>201960000</v>
      </c>
      <c r="T303" s="59" t="s">
        <v>410</v>
      </c>
      <c r="U303" s="72">
        <v>25</v>
      </c>
      <c r="V303" s="72">
        <f>(I303-2.25)/U303</f>
        <v>24.39</v>
      </c>
      <c r="W303" s="163" t="s">
        <v>2</v>
      </c>
      <c r="X303" s="161">
        <v>14</v>
      </c>
      <c r="Y303" s="45"/>
      <c r="Z303" s="73"/>
      <c r="AA303" s="65"/>
      <c r="AB303" s="161">
        <f t="shared" ref="AB303:AB304" si="18">X303*Y303*AA303</f>
        <v>0</v>
      </c>
      <c r="AC303" s="249">
        <f>SUM(AB303:AB313)</f>
        <v>87050000</v>
      </c>
      <c r="AD303" s="285">
        <f>S303+AC303</f>
        <v>289010000</v>
      </c>
      <c r="AE303" s="26" t="s">
        <v>404</v>
      </c>
      <c r="AF303" s="288"/>
    </row>
    <row r="304" spans="1:32" s="74" customFormat="1" ht="19.5" customHeight="1">
      <c r="A304" s="269"/>
      <c r="B304" s="266"/>
      <c r="C304" s="264"/>
      <c r="D304" s="264"/>
      <c r="E304" s="264"/>
      <c r="F304" s="264"/>
      <c r="G304" s="249"/>
      <c r="H304" s="263"/>
      <c r="I304" s="317"/>
      <c r="J304" s="249"/>
      <c r="K304" s="264"/>
      <c r="L304" s="264"/>
      <c r="M304" s="249"/>
      <c r="N304" s="249"/>
      <c r="O304" s="249"/>
      <c r="P304" s="249"/>
      <c r="Q304" s="249"/>
      <c r="R304" s="249"/>
      <c r="S304" s="249"/>
      <c r="T304" s="57" t="s">
        <v>399</v>
      </c>
      <c r="U304" s="72"/>
      <c r="V304" s="72"/>
      <c r="W304" s="163" t="s">
        <v>2</v>
      </c>
      <c r="X304" s="161">
        <v>14</v>
      </c>
      <c r="Y304" s="45">
        <v>4500000</v>
      </c>
      <c r="Z304" s="73"/>
      <c r="AA304" s="65">
        <v>1</v>
      </c>
      <c r="AB304" s="161">
        <f t="shared" si="18"/>
        <v>63000000</v>
      </c>
      <c r="AC304" s="249"/>
      <c r="AD304" s="285"/>
      <c r="AE304" s="26"/>
      <c r="AF304" s="289"/>
    </row>
    <row r="305" spans="1:32" s="74" customFormat="1" ht="45.75" customHeight="1">
      <c r="A305" s="269"/>
      <c r="B305" s="266"/>
      <c r="C305" s="264"/>
      <c r="D305" s="264"/>
      <c r="E305" s="264"/>
      <c r="F305" s="264"/>
      <c r="G305" s="249"/>
      <c r="H305" s="263"/>
      <c r="I305" s="317"/>
      <c r="J305" s="249"/>
      <c r="K305" s="264"/>
      <c r="L305" s="264"/>
      <c r="M305" s="249"/>
      <c r="N305" s="249"/>
      <c r="O305" s="249"/>
      <c r="P305" s="249"/>
      <c r="Q305" s="249"/>
      <c r="R305" s="249"/>
      <c r="S305" s="249"/>
      <c r="T305" s="59" t="s">
        <v>409</v>
      </c>
      <c r="U305" s="72"/>
      <c r="V305" s="72"/>
      <c r="W305" s="163" t="s">
        <v>2</v>
      </c>
      <c r="X305" s="179">
        <v>5</v>
      </c>
      <c r="Y305" s="45"/>
      <c r="Z305" s="77"/>
      <c r="AA305" s="65"/>
      <c r="AB305" s="161"/>
      <c r="AC305" s="249"/>
      <c r="AD305" s="285"/>
      <c r="AE305" s="26"/>
      <c r="AF305" s="289"/>
    </row>
    <row r="306" spans="1:32" s="74" customFormat="1" ht="28.5" customHeight="1">
      <c r="A306" s="269"/>
      <c r="B306" s="266"/>
      <c r="C306" s="264"/>
      <c r="D306" s="264"/>
      <c r="E306" s="264"/>
      <c r="F306" s="264"/>
      <c r="G306" s="249"/>
      <c r="H306" s="263"/>
      <c r="I306" s="317"/>
      <c r="J306" s="249"/>
      <c r="K306" s="264"/>
      <c r="L306" s="264"/>
      <c r="M306" s="249"/>
      <c r="N306" s="249"/>
      <c r="O306" s="249"/>
      <c r="P306" s="249"/>
      <c r="Q306" s="249"/>
      <c r="R306" s="249"/>
      <c r="S306" s="249"/>
      <c r="T306" s="57" t="s">
        <v>399</v>
      </c>
      <c r="U306" s="72"/>
      <c r="V306" s="72"/>
      <c r="W306" s="163" t="s">
        <v>2</v>
      </c>
      <c r="X306" s="179">
        <v>5</v>
      </c>
      <c r="Y306" s="45">
        <v>3850000</v>
      </c>
      <c r="Z306" s="77"/>
      <c r="AA306" s="65">
        <v>1</v>
      </c>
      <c r="AB306" s="161">
        <f t="shared" ref="AB306" si="19">X306*Y306*AA306</f>
        <v>19250000</v>
      </c>
      <c r="AC306" s="249"/>
      <c r="AD306" s="285"/>
      <c r="AE306" s="26"/>
      <c r="AF306" s="289"/>
    </row>
    <row r="307" spans="1:32" s="74" customFormat="1" ht="48" customHeight="1">
      <c r="A307" s="269"/>
      <c r="B307" s="266"/>
      <c r="C307" s="264"/>
      <c r="D307" s="264"/>
      <c r="E307" s="264"/>
      <c r="F307" s="264"/>
      <c r="G307" s="249"/>
      <c r="H307" s="263"/>
      <c r="I307" s="317"/>
      <c r="J307" s="249"/>
      <c r="K307" s="264"/>
      <c r="L307" s="264"/>
      <c r="M307" s="249"/>
      <c r="N307" s="249"/>
      <c r="O307" s="249"/>
      <c r="P307" s="249"/>
      <c r="Q307" s="249"/>
      <c r="R307" s="249"/>
      <c r="S307" s="249"/>
      <c r="T307" s="59" t="s">
        <v>490</v>
      </c>
      <c r="U307" s="72">
        <f>10000/2200</f>
        <v>4.5454545454545459</v>
      </c>
      <c r="V307" s="72">
        <f>(I303-2.25)/U307</f>
        <v>134.14499999999998</v>
      </c>
      <c r="W307" s="163" t="s">
        <v>2</v>
      </c>
      <c r="X307" s="179">
        <v>60</v>
      </c>
      <c r="Y307" s="45"/>
      <c r="Z307" s="77"/>
      <c r="AA307" s="65"/>
      <c r="AB307" s="161"/>
      <c r="AC307" s="249"/>
      <c r="AD307" s="285"/>
      <c r="AE307" s="26"/>
      <c r="AF307" s="289"/>
    </row>
    <row r="308" spans="1:32" s="74" customFormat="1" ht="24.75" customHeight="1">
      <c r="A308" s="269"/>
      <c r="B308" s="266"/>
      <c r="C308" s="264"/>
      <c r="D308" s="264"/>
      <c r="E308" s="264"/>
      <c r="F308" s="264"/>
      <c r="G308" s="249"/>
      <c r="H308" s="263"/>
      <c r="I308" s="317"/>
      <c r="J308" s="249"/>
      <c r="K308" s="264"/>
      <c r="L308" s="264"/>
      <c r="M308" s="249"/>
      <c r="N308" s="249"/>
      <c r="O308" s="249"/>
      <c r="P308" s="249"/>
      <c r="Q308" s="249"/>
      <c r="R308" s="249"/>
      <c r="S308" s="249"/>
      <c r="T308" s="57" t="s">
        <v>399</v>
      </c>
      <c r="U308" s="72"/>
      <c r="V308" s="72"/>
      <c r="W308" s="163" t="s">
        <v>2</v>
      </c>
      <c r="X308" s="179">
        <v>60</v>
      </c>
      <c r="Y308" s="45">
        <v>160000</v>
      </c>
      <c r="Z308" s="77"/>
      <c r="AA308" s="65">
        <v>0.5</v>
      </c>
      <c r="AB308" s="161">
        <f t="shared" ref="AB308" si="20">X308*Y308*AA308</f>
        <v>4800000</v>
      </c>
      <c r="AC308" s="249"/>
      <c r="AD308" s="285"/>
      <c r="AE308" s="26"/>
      <c r="AF308" s="289"/>
    </row>
    <row r="309" spans="1:32" s="74" customFormat="1" ht="50.25" customHeight="1">
      <c r="A309" s="269"/>
      <c r="B309" s="266"/>
      <c r="C309" s="264"/>
      <c r="D309" s="264"/>
      <c r="E309" s="264"/>
      <c r="F309" s="264"/>
      <c r="G309" s="249"/>
      <c r="H309" s="263"/>
      <c r="I309" s="317"/>
      <c r="J309" s="249"/>
      <c r="K309" s="264"/>
      <c r="L309" s="264"/>
      <c r="M309" s="249"/>
      <c r="N309" s="249"/>
      <c r="O309" s="249"/>
      <c r="P309" s="249"/>
      <c r="Q309" s="249"/>
      <c r="R309" s="249"/>
      <c r="S309" s="249"/>
      <c r="T309" s="165" t="s">
        <v>452</v>
      </c>
      <c r="U309" s="72"/>
      <c r="V309" s="72"/>
      <c r="W309" s="163" t="s">
        <v>441</v>
      </c>
      <c r="X309" s="168">
        <v>3.4</v>
      </c>
      <c r="Y309" s="45"/>
      <c r="Z309" s="73"/>
      <c r="AA309" s="65"/>
      <c r="AB309" s="161"/>
      <c r="AC309" s="249"/>
      <c r="AD309" s="285"/>
      <c r="AE309" s="26"/>
      <c r="AF309" s="289"/>
    </row>
    <row r="310" spans="1:32" s="74" customFormat="1" ht="53.25" customHeight="1">
      <c r="A310" s="269"/>
      <c r="B310" s="266"/>
      <c r="C310" s="264"/>
      <c r="D310" s="264"/>
      <c r="E310" s="264"/>
      <c r="F310" s="264"/>
      <c r="G310" s="249"/>
      <c r="H310" s="263"/>
      <c r="I310" s="317"/>
      <c r="J310" s="249"/>
      <c r="K310" s="264"/>
      <c r="L310" s="264"/>
      <c r="M310" s="249"/>
      <c r="N310" s="249"/>
      <c r="O310" s="249"/>
      <c r="P310" s="249"/>
      <c r="Q310" s="249"/>
      <c r="R310" s="249"/>
      <c r="S310" s="249"/>
      <c r="T310" s="165" t="s">
        <v>414</v>
      </c>
      <c r="U310" s="72"/>
      <c r="V310" s="72"/>
      <c r="W310" s="163" t="s">
        <v>0</v>
      </c>
      <c r="X310" s="161">
        <v>146</v>
      </c>
      <c r="Y310" s="45"/>
      <c r="Z310" s="73"/>
      <c r="AA310" s="65"/>
      <c r="AB310" s="161"/>
      <c r="AC310" s="249"/>
      <c r="AD310" s="285"/>
      <c r="AE310" s="26"/>
      <c r="AF310" s="289"/>
    </row>
    <row r="311" spans="1:32" s="74" customFormat="1" ht="44.25" customHeight="1">
      <c r="A311" s="269"/>
      <c r="B311" s="266"/>
      <c r="C311" s="264"/>
      <c r="D311" s="264"/>
      <c r="E311" s="264"/>
      <c r="F311" s="264"/>
      <c r="G311" s="249"/>
      <c r="H311" s="263"/>
      <c r="I311" s="317"/>
      <c r="J311" s="249"/>
      <c r="K311" s="264"/>
      <c r="L311" s="264"/>
      <c r="M311" s="249"/>
      <c r="N311" s="249"/>
      <c r="O311" s="249"/>
      <c r="P311" s="249"/>
      <c r="Q311" s="249"/>
      <c r="R311" s="249"/>
      <c r="S311" s="249"/>
      <c r="T311" s="165" t="s">
        <v>426</v>
      </c>
      <c r="U311" s="72"/>
      <c r="V311" s="72"/>
      <c r="W311" s="163" t="s">
        <v>0</v>
      </c>
      <c r="X311" s="161">
        <v>6</v>
      </c>
      <c r="Y311" s="45"/>
      <c r="Z311" s="73"/>
      <c r="AA311" s="65"/>
      <c r="AB311" s="161"/>
      <c r="AC311" s="249"/>
      <c r="AD311" s="285"/>
      <c r="AE311" s="26"/>
      <c r="AF311" s="289"/>
    </row>
    <row r="312" spans="1:32" s="74" customFormat="1" ht="32.25" customHeight="1">
      <c r="A312" s="269"/>
      <c r="B312" s="266"/>
      <c r="C312" s="264"/>
      <c r="D312" s="264"/>
      <c r="E312" s="264"/>
      <c r="F312" s="264"/>
      <c r="G312" s="249"/>
      <c r="H312" s="263"/>
      <c r="I312" s="317"/>
      <c r="J312" s="249"/>
      <c r="K312" s="264"/>
      <c r="L312" s="264"/>
      <c r="M312" s="249"/>
      <c r="N312" s="249"/>
      <c r="O312" s="249"/>
      <c r="P312" s="249"/>
      <c r="Q312" s="249"/>
      <c r="R312" s="249"/>
      <c r="S312" s="249"/>
      <c r="T312" s="165" t="s">
        <v>453</v>
      </c>
      <c r="U312" s="72"/>
      <c r="V312" s="72"/>
      <c r="W312" s="163" t="s">
        <v>441</v>
      </c>
      <c r="X312" s="168">
        <v>0.3</v>
      </c>
      <c r="Y312" s="45"/>
      <c r="Z312" s="73"/>
      <c r="AA312" s="65"/>
      <c r="AB312" s="161"/>
      <c r="AC312" s="249"/>
      <c r="AD312" s="285"/>
      <c r="AE312" s="26"/>
      <c r="AF312" s="289"/>
    </row>
    <row r="313" spans="1:32" s="74" customFormat="1" ht="26.25" customHeight="1">
      <c r="A313" s="269"/>
      <c r="B313" s="266"/>
      <c r="C313" s="264"/>
      <c r="D313" s="264"/>
      <c r="E313" s="264"/>
      <c r="F313" s="264"/>
      <c r="G313" s="249"/>
      <c r="H313" s="263"/>
      <c r="I313" s="317"/>
      <c r="J313" s="249"/>
      <c r="K313" s="264"/>
      <c r="L313" s="264"/>
      <c r="M313" s="249"/>
      <c r="N313" s="249"/>
      <c r="O313" s="249"/>
      <c r="P313" s="249"/>
      <c r="Q313" s="249"/>
      <c r="R313" s="249"/>
      <c r="S313" s="249"/>
      <c r="T313" s="165" t="s">
        <v>405</v>
      </c>
      <c r="U313" s="72"/>
      <c r="V313" s="72"/>
      <c r="W313" s="163" t="s">
        <v>395</v>
      </c>
      <c r="X313" s="161">
        <v>1</v>
      </c>
      <c r="Y313" s="45"/>
      <c r="Z313" s="73"/>
      <c r="AA313" s="65"/>
      <c r="AB313" s="161"/>
      <c r="AC313" s="249"/>
      <c r="AD313" s="285"/>
      <c r="AE313" s="26"/>
      <c r="AF313" s="289"/>
    </row>
    <row r="314" spans="1:32" s="74" customFormat="1" ht="25.5" customHeight="1">
      <c r="A314" s="269">
        <v>30</v>
      </c>
      <c r="B314" s="266" t="s">
        <v>456</v>
      </c>
      <c r="C314" s="264">
        <v>64</v>
      </c>
      <c r="D314" s="264">
        <v>457</v>
      </c>
      <c r="E314" s="264">
        <v>931.3</v>
      </c>
      <c r="F314" s="264" t="s">
        <v>26</v>
      </c>
      <c r="G314" s="249">
        <v>900</v>
      </c>
      <c r="H314" s="263">
        <f>E314-G314</f>
        <v>31.299999999999955</v>
      </c>
      <c r="I314" s="319">
        <v>900</v>
      </c>
      <c r="J314" s="250">
        <v>2520</v>
      </c>
      <c r="K314" s="160"/>
      <c r="L314" s="259">
        <f>I314/J314*100</f>
        <v>35.714285714285715</v>
      </c>
      <c r="M314" s="250">
        <v>6</v>
      </c>
      <c r="N314" s="250">
        <v>4</v>
      </c>
      <c r="O314" s="250">
        <v>80000</v>
      </c>
      <c r="P314" s="250">
        <f>O314*I314</f>
        <v>72000000</v>
      </c>
      <c r="Q314" s="250">
        <f>P314*3</f>
        <v>216000000</v>
      </c>
      <c r="R314" s="250">
        <f>M314*N314*R7</f>
        <v>12240000</v>
      </c>
      <c r="S314" s="250">
        <f>SUM(P314:R325)</f>
        <v>300240000</v>
      </c>
      <c r="T314" s="59" t="s">
        <v>406</v>
      </c>
      <c r="U314" s="72"/>
      <c r="V314" s="72"/>
      <c r="W314" s="163" t="s">
        <v>0</v>
      </c>
      <c r="X314" s="179">
        <v>360</v>
      </c>
      <c r="Y314" s="45">
        <v>180000</v>
      </c>
      <c r="Z314" s="77"/>
      <c r="AA314" s="65">
        <v>1</v>
      </c>
      <c r="AB314" s="161">
        <f t="shared" ref="AB314" si="21">X314*Y314*AA314</f>
        <v>64800000</v>
      </c>
      <c r="AC314" s="249">
        <f>SUM(AB314:AB325)</f>
        <v>117675000</v>
      </c>
      <c r="AD314" s="252">
        <f>S314+AC314</f>
        <v>417915000</v>
      </c>
      <c r="AE314" s="26" t="s">
        <v>404</v>
      </c>
    </row>
    <row r="315" spans="1:32" s="74" customFormat="1" ht="37.5" customHeight="1">
      <c r="A315" s="269"/>
      <c r="B315" s="266"/>
      <c r="C315" s="264"/>
      <c r="D315" s="264"/>
      <c r="E315" s="264"/>
      <c r="F315" s="264"/>
      <c r="G315" s="249"/>
      <c r="H315" s="263"/>
      <c r="I315" s="319"/>
      <c r="J315" s="250"/>
      <c r="K315" s="160"/>
      <c r="L315" s="259"/>
      <c r="M315" s="250"/>
      <c r="N315" s="250"/>
      <c r="O315" s="250"/>
      <c r="P315" s="250"/>
      <c r="Q315" s="250"/>
      <c r="R315" s="250"/>
      <c r="S315" s="250"/>
      <c r="T315" s="43" t="s">
        <v>400</v>
      </c>
      <c r="U315" s="72">
        <v>20</v>
      </c>
      <c r="V315" s="72">
        <f>(I314-X314)/U315</f>
        <v>27</v>
      </c>
      <c r="W315" s="163" t="s">
        <v>2</v>
      </c>
      <c r="X315" s="161">
        <v>20</v>
      </c>
      <c r="Y315" s="45"/>
      <c r="Z315" s="63"/>
      <c r="AA315" s="75"/>
      <c r="AB315" s="161"/>
      <c r="AC315" s="249"/>
      <c r="AD315" s="252"/>
      <c r="AE315" s="26"/>
    </row>
    <row r="316" spans="1:32" s="74" customFormat="1" ht="21.75" customHeight="1">
      <c r="A316" s="269"/>
      <c r="B316" s="266"/>
      <c r="C316" s="264"/>
      <c r="D316" s="264"/>
      <c r="E316" s="264"/>
      <c r="F316" s="264"/>
      <c r="G316" s="249"/>
      <c r="H316" s="263"/>
      <c r="I316" s="319"/>
      <c r="J316" s="250"/>
      <c r="K316" s="160"/>
      <c r="L316" s="259"/>
      <c r="M316" s="250"/>
      <c r="N316" s="250"/>
      <c r="O316" s="250"/>
      <c r="P316" s="250"/>
      <c r="Q316" s="250"/>
      <c r="R316" s="250"/>
      <c r="S316" s="250"/>
      <c r="T316" s="57" t="s">
        <v>399</v>
      </c>
      <c r="U316" s="72"/>
      <c r="V316" s="72"/>
      <c r="W316" s="163" t="s">
        <v>2</v>
      </c>
      <c r="X316" s="161">
        <v>20</v>
      </c>
      <c r="Y316" s="45">
        <v>1800000</v>
      </c>
      <c r="Z316" s="63"/>
      <c r="AA316" s="75">
        <v>1</v>
      </c>
      <c r="AB316" s="161">
        <f>X316*Y316*AA316</f>
        <v>36000000</v>
      </c>
      <c r="AC316" s="249"/>
      <c r="AD316" s="252"/>
      <c r="AE316" s="26"/>
    </row>
    <row r="317" spans="1:32" s="74" customFormat="1" ht="33" customHeight="1">
      <c r="A317" s="269"/>
      <c r="B317" s="266"/>
      <c r="C317" s="264"/>
      <c r="D317" s="264"/>
      <c r="E317" s="264"/>
      <c r="F317" s="264"/>
      <c r="G317" s="249"/>
      <c r="H317" s="263"/>
      <c r="I317" s="319"/>
      <c r="J317" s="250"/>
      <c r="K317" s="160"/>
      <c r="L317" s="259"/>
      <c r="M317" s="250"/>
      <c r="N317" s="250"/>
      <c r="O317" s="250"/>
      <c r="P317" s="250"/>
      <c r="Q317" s="250"/>
      <c r="R317" s="250"/>
      <c r="S317" s="250"/>
      <c r="T317" s="43" t="s">
        <v>457</v>
      </c>
      <c r="U317" s="72">
        <v>25</v>
      </c>
      <c r="V317" s="72">
        <f>(I314-X314)/U317</f>
        <v>21.6</v>
      </c>
      <c r="W317" s="163" t="s">
        <v>2</v>
      </c>
      <c r="X317" s="161">
        <v>3</v>
      </c>
      <c r="Y317" s="45"/>
      <c r="Z317" s="63"/>
      <c r="AA317" s="75"/>
      <c r="AB317" s="161"/>
      <c r="AC317" s="249"/>
      <c r="AD317" s="252"/>
      <c r="AE317" s="26"/>
    </row>
    <row r="318" spans="1:32" s="74" customFormat="1" ht="21.75" customHeight="1">
      <c r="A318" s="269"/>
      <c r="B318" s="266"/>
      <c r="C318" s="264"/>
      <c r="D318" s="264"/>
      <c r="E318" s="264"/>
      <c r="F318" s="264"/>
      <c r="G318" s="249"/>
      <c r="H318" s="263"/>
      <c r="I318" s="319"/>
      <c r="J318" s="250"/>
      <c r="K318" s="160"/>
      <c r="L318" s="259"/>
      <c r="M318" s="250"/>
      <c r="N318" s="250"/>
      <c r="O318" s="250"/>
      <c r="P318" s="250"/>
      <c r="Q318" s="250"/>
      <c r="R318" s="250"/>
      <c r="S318" s="250"/>
      <c r="T318" s="57" t="s">
        <v>399</v>
      </c>
      <c r="U318" s="72"/>
      <c r="V318" s="72"/>
      <c r="W318" s="163" t="s">
        <v>2</v>
      </c>
      <c r="X318" s="161">
        <v>3</v>
      </c>
      <c r="Y318" s="45">
        <v>3750000</v>
      </c>
      <c r="Z318" s="63"/>
      <c r="AA318" s="75">
        <v>0.5</v>
      </c>
      <c r="AB318" s="161">
        <f>X318*Y318*AA318</f>
        <v>5625000</v>
      </c>
      <c r="AC318" s="249"/>
      <c r="AD318" s="252"/>
      <c r="AE318" s="26"/>
    </row>
    <row r="319" spans="1:32" s="74" customFormat="1" ht="35.25" customHeight="1">
      <c r="A319" s="269"/>
      <c r="B319" s="266"/>
      <c r="C319" s="264"/>
      <c r="D319" s="264"/>
      <c r="E319" s="264"/>
      <c r="F319" s="264"/>
      <c r="G319" s="249"/>
      <c r="H319" s="263"/>
      <c r="I319" s="319"/>
      <c r="J319" s="250"/>
      <c r="K319" s="160"/>
      <c r="L319" s="259"/>
      <c r="M319" s="250"/>
      <c r="N319" s="250"/>
      <c r="O319" s="250"/>
      <c r="P319" s="250"/>
      <c r="Q319" s="250"/>
      <c r="R319" s="250"/>
      <c r="S319" s="250"/>
      <c r="T319" s="57" t="s">
        <v>685</v>
      </c>
      <c r="U319" s="72">
        <v>25</v>
      </c>
      <c r="V319" s="72">
        <f>(I314-X314)/U319</f>
        <v>21.6</v>
      </c>
      <c r="W319" s="163" t="s">
        <v>2</v>
      </c>
      <c r="X319" s="161">
        <v>5</v>
      </c>
      <c r="Y319" s="45"/>
      <c r="Z319" s="63"/>
      <c r="AA319" s="75"/>
      <c r="AB319" s="161"/>
      <c r="AC319" s="249"/>
      <c r="AD319" s="252"/>
      <c r="AE319" s="26"/>
    </row>
    <row r="320" spans="1:32" s="74" customFormat="1" ht="21.75" customHeight="1">
      <c r="A320" s="269"/>
      <c r="B320" s="266"/>
      <c r="C320" s="264"/>
      <c r="D320" s="264"/>
      <c r="E320" s="264"/>
      <c r="F320" s="264"/>
      <c r="G320" s="249"/>
      <c r="H320" s="263"/>
      <c r="I320" s="319"/>
      <c r="J320" s="250"/>
      <c r="K320" s="160"/>
      <c r="L320" s="259"/>
      <c r="M320" s="250"/>
      <c r="N320" s="250"/>
      <c r="O320" s="250"/>
      <c r="P320" s="250"/>
      <c r="Q320" s="250"/>
      <c r="R320" s="250"/>
      <c r="S320" s="250"/>
      <c r="T320" s="57" t="s">
        <v>399</v>
      </c>
      <c r="U320" s="72"/>
      <c r="V320" s="72"/>
      <c r="W320" s="163" t="s">
        <v>2</v>
      </c>
      <c r="X320" s="161">
        <v>5</v>
      </c>
      <c r="Y320" s="45">
        <v>1500000</v>
      </c>
      <c r="Z320" s="63"/>
      <c r="AA320" s="75">
        <v>0.5</v>
      </c>
      <c r="AB320" s="161">
        <f>X320*Y320*AA320</f>
        <v>3750000</v>
      </c>
      <c r="AC320" s="249"/>
      <c r="AD320" s="252"/>
      <c r="AE320" s="26"/>
    </row>
    <row r="321" spans="1:31" s="74" customFormat="1" ht="32.25" customHeight="1">
      <c r="A321" s="269"/>
      <c r="B321" s="266"/>
      <c r="C321" s="264"/>
      <c r="D321" s="264"/>
      <c r="E321" s="264"/>
      <c r="F321" s="264"/>
      <c r="G321" s="249"/>
      <c r="H321" s="263"/>
      <c r="I321" s="319"/>
      <c r="J321" s="250"/>
      <c r="K321" s="160"/>
      <c r="L321" s="259"/>
      <c r="M321" s="250"/>
      <c r="N321" s="250"/>
      <c r="O321" s="250"/>
      <c r="P321" s="250"/>
      <c r="Q321" s="250"/>
      <c r="R321" s="250"/>
      <c r="S321" s="250"/>
      <c r="T321" s="43" t="s">
        <v>458</v>
      </c>
      <c r="U321" s="72">
        <v>4</v>
      </c>
      <c r="V321" s="72">
        <f>(I314-X314)/U321</f>
        <v>135</v>
      </c>
      <c r="W321" s="163" t="s">
        <v>392</v>
      </c>
      <c r="X321" s="161">
        <v>60</v>
      </c>
      <c r="Y321" s="45"/>
      <c r="Z321" s="77"/>
      <c r="AA321" s="65"/>
      <c r="AB321" s="161"/>
      <c r="AC321" s="249"/>
      <c r="AD321" s="252"/>
      <c r="AE321" s="26"/>
    </row>
    <row r="322" spans="1:31" s="74" customFormat="1" ht="21.75" customHeight="1">
      <c r="A322" s="269"/>
      <c r="B322" s="266"/>
      <c r="C322" s="264"/>
      <c r="D322" s="264"/>
      <c r="E322" s="264"/>
      <c r="F322" s="264"/>
      <c r="G322" s="249"/>
      <c r="H322" s="263"/>
      <c r="I322" s="319"/>
      <c r="J322" s="250"/>
      <c r="K322" s="160"/>
      <c r="L322" s="259"/>
      <c r="M322" s="250"/>
      <c r="N322" s="250"/>
      <c r="O322" s="250"/>
      <c r="P322" s="250"/>
      <c r="Q322" s="250"/>
      <c r="R322" s="250"/>
      <c r="S322" s="250"/>
      <c r="T322" s="57" t="s">
        <v>399</v>
      </c>
      <c r="U322" s="72"/>
      <c r="V322" s="72"/>
      <c r="W322" s="163" t="s">
        <v>392</v>
      </c>
      <c r="X322" s="161">
        <v>60</v>
      </c>
      <c r="Y322" s="45">
        <v>200000</v>
      </c>
      <c r="Z322" s="77"/>
      <c r="AA322" s="65">
        <v>0.5</v>
      </c>
      <c r="AB322" s="161">
        <f>X322*Y322*AA322</f>
        <v>6000000</v>
      </c>
      <c r="AC322" s="249"/>
      <c r="AD322" s="252"/>
      <c r="AE322" s="26"/>
    </row>
    <row r="323" spans="1:31" s="74" customFormat="1" ht="33.75" customHeight="1">
      <c r="A323" s="269"/>
      <c r="B323" s="266"/>
      <c r="C323" s="264"/>
      <c r="D323" s="264"/>
      <c r="E323" s="264"/>
      <c r="F323" s="264"/>
      <c r="G323" s="249"/>
      <c r="H323" s="263"/>
      <c r="I323" s="319"/>
      <c r="J323" s="250"/>
      <c r="K323" s="160"/>
      <c r="L323" s="259"/>
      <c r="M323" s="250"/>
      <c r="N323" s="250"/>
      <c r="O323" s="250"/>
      <c r="P323" s="250"/>
      <c r="Q323" s="250"/>
      <c r="R323" s="250"/>
      <c r="S323" s="250"/>
      <c r="T323" s="43" t="s">
        <v>459</v>
      </c>
      <c r="U323" s="72"/>
      <c r="V323" s="72"/>
      <c r="W323" s="163" t="s">
        <v>392</v>
      </c>
      <c r="X323" s="161">
        <v>20</v>
      </c>
      <c r="Y323" s="45"/>
      <c r="Z323" s="77"/>
      <c r="AA323" s="65"/>
      <c r="AB323" s="161"/>
      <c r="AC323" s="249"/>
      <c r="AD323" s="252"/>
      <c r="AE323" s="26"/>
    </row>
    <row r="324" spans="1:31" s="74" customFormat="1" ht="21.75" customHeight="1">
      <c r="A324" s="269"/>
      <c r="B324" s="266"/>
      <c r="C324" s="264"/>
      <c r="D324" s="264"/>
      <c r="E324" s="264"/>
      <c r="F324" s="264"/>
      <c r="G324" s="249"/>
      <c r="H324" s="263"/>
      <c r="I324" s="319"/>
      <c r="J324" s="250"/>
      <c r="K324" s="160"/>
      <c r="L324" s="259"/>
      <c r="M324" s="250"/>
      <c r="N324" s="250"/>
      <c r="O324" s="250"/>
      <c r="P324" s="250"/>
      <c r="Q324" s="250"/>
      <c r="R324" s="250"/>
      <c r="S324" s="250"/>
      <c r="T324" s="57" t="s">
        <v>399</v>
      </c>
      <c r="U324" s="72"/>
      <c r="V324" s="72"/>
      <c r="W324" s="163" t="s">
        <v>392</v>
      </c>
      <c r="X324" s="161">
        <v>20</v>
      </c>
      <c r="Y324" s="45">
        <v>150000</v>
      </c>
      <c r="Z324" s="77"/>
      <c r="AA324" s="65">
        <v>0.5</v>
      </c>
      <c r="AB324" s="161">
        <f>X324*Y324*AA324</f>
        <v>1500000</v>
      </c>
      <c r="AC324" s="249"/>
      <c r="AD324" s="252"/>
      <c r="AE324" s="26"/>
    </row>
    <row r="325" spans="1:31" s="74" customFormat="1" ht="21.75" customHeight="1">
      <c r="A325" s="269"/>
      <c r="B325" s="266"/>
      <c r="C325" s="264"/>
      <c r="D325" s="264"/>
      <c r="E325" s="264"/>
      <c r="F325" s="264"/>
      <c r="G325" s="249"/>
      <c r="H325" s="263"/>
      <c r="I325" s="319"/>
      <c r="J325" s="250"/>
      <c r="K325" s="160"/>
      <c r="L325" s="259"/>
      <c r="M325" s="250"/>
      <c r="N325" s="250"/>
      <c r="O325" s="250"/>
      <c r="P325" s="250"/>
      <c r="Q325" s="250"/>
      <c r="R325" s="250"/>
      <c r="S325" s="250"/>
      <c r="T325" s="165" t="s">
        <v>416</v>
      </c>
      <c r="U325" s="72"/>
      <c r="V325" s="72"/>
      <c r="W325" s="163" t="s">
        <v>3</v>
      </c>
      <c r="X325" s="161">
        <v>1</v>
      </c>
      <c r="Y325" s="45"/>
      <c r="Z325" s="63"/>
      <c r="AA325" s="75"/>
      <c r="AB325" s="161"/>
      <c r="AC325" s="249"/>
      <c r="AD325" s="252"/>
      <c r="AE325" s="26"/>
    </row>
    <row r="326" spans="1:31" s="74" customFormat="1" ht="35.25" customHeight="1">
      <c r="A326" s="269">
        <v>31</v>
      </c>
      <c r="B326" s="266" t="s">
        <v>471</v>
      </c>
      <c r="C326" s="264">
        <v>64</v>
      </c>
      <c r="D326" s="264">
        <v>448</v>
      </c>
      <c r="E326" s="264">
        <v>633</v>
      </c>
      <c r="F326" s="264" t="s">
        <v>26</v>
      </c>
      <c r="G326" s="249">
        <v>612</v>
      </c>
      <c r="H326" s="263">
        <f>E326-G326</f>
        <v>21</v>
      </c>
      <c r="I326" s="317">
        <f>G326+G330</f>
        <v>1116</v>
      </c>
      <c r="J326" s="249">
        <v>1944</v>
      </c>
      <c r="K326" s="249"/>
      <c r="L326" s="249">
        <f>I326/J326*100</f>
        <v>57.407407407407405</v>
      </c>
      <c r="M326" s="249">
        <v>6</v>
      </c>
      <c r="N326" s="249">
        <v>4</v>
      </c>
      <c r="O326" s="249">
        <v>80000</v>
      </c>
      <c r="P326" s="249">
        <f>O326*I326</f>
        <v>89280000</v>
      </c>
      <c r="Q326" s="249">
        <f>P326*3</f>
        <v>267840000</v>
      </c>
      <c r="R326" s="249">
        <f>M326*N326*R7</f>
        <v>12240000</v>
      </c>
      <c r="S326" s="249">
        <f>SUM(P326:R332)</f>
        <v>369360000</v>
      </c>
      <c r="T326" s="43" t="s">
        <v>410</v>
      </c>
      <c r="U326" s="72">
        <v>25</v>
      </c>
      <c r="V326" s="72">
        <f>(I326-3.75-7.5)/U326</f>
        <v>44.19</v>
      </c>
      <c r="W326" s="163" t="s">
        <v>2</v>
      </c>
      <c r="X326" s="161">
        <v>52</v>
      </c>
      <c r="Y326" s="45"/>
      <c r="Z326" s="63"/>
      <c r="AA326" s="75"/>
      <c r="AB326" s="161"/>
      <c r="AC326" s="249">
        <f>SUM(AB326:AB332)</f>
        <v>216000000</v>
      </c>
      <c r="AD326" s="252">
        <f>S326+AC326+AC330</f>
        <v>585360000</v>
      </c>
      <c r="AE326" s="26" t="s">
        <v>394</v>
      </c>
    </row>
    <row r="327" spans="1:31" s="74" customFormat="1" ht="21" customHeight="1">
      <c r="A327" s="269"/>
      <c r="B327" s="266"/>
      <c r="C327" s="264"/>
      <c r="D327" s="264"/>
      <c r="E327" s="264"/>
      <c r="F327" s="264"/>
      <c r="G327" s="249"/>
      <c r="H327" s="263"/>
      <c r="I327" s="317"/>
      <c r="J327" s="249"/>
      <c r="K327" s="249"/>
      <c r="L327" s="249"/>
      <c r="M327" s="249"/>
      <c r="N327" s="249"/>
      <c r="O327" s="249"/>
      <c r="P327" s="249"/>
      <c r="Q327" s="249"/>
      <c r="R327" s="249"/>
      <c r="S327" s="249"/>
      <c r="T327" s="57" t="s">
        <v>399</v>
      </c>
      <c r="U327" s="72"/>
      <c r="V327" s="72"/>
      <c r="W327" s="163" t="s">
        <v>2</v>
      </c>
      <c r="X327" s="161">
        <v>44</v>
      </c>
      <c r="Y327" s="45">
        <v>4500000</v>
      </c>
      <c r="Z327" s="63"/>
      <c r="AA327" s="75">
        <v>1</v>
      </c>
      <c r="AB327" s="161">
        <f>X327*Y327*AA327</f>
        <v>198000000</v>
      </c>
      <c r="AC327" s="249"/>
      <c r="AD327" s="252"/>
      <c r="AE327" s="26"/>
    </row>
    <row r="328" spans="1:31" s="74" customFormat="1" ht="24" customHeight="1">
      <c r="A328" s="269"/>
      <c r="B328" s="266"/>
      <c r="C328" s="264"/>
      <c r="D328" s="264"/>
      <c r="E328" s="264"/>
      <c r="F328" s="264"/>
      <c r="G328" s="249"/>
      <c r="H328" s="263"/>
      <c r="I328" s="317"/>
      <c r="J328" s="249"/>
      <c r="K328" s="249"/>
      <c r="L328" s="249"/>
      <c r="M328" s="249"/>
      <c r="N328" s="249"/>
      <c r="O328" s="249"/>
      <c r="P328" s="249"/>
      <c r="Q328" s="249"/>
      <c r="R328" s="249"/>
      <c r="S328" s="249"/>
      <c r="T328" s="57" t="s">
        <v>401</v>
      </c>
      <c r="U328" s="72"/>
      <c r="V328" s="72">
        <f>0.3*V326</f>
        <v>13.257</v>
      </c>
      <c r="W328" s="163" t="s">
        <v>2</v>
      </c>
      <c r="X328" s="161">
        <v>8</v>
      </c>
      <c r="Y328" s="45">
        <v>4500000</v>
      </c>
      <c r="Z328" s="63"/>
      <c r="AA328" s="75">
        <v>0.5</v>
      </c>
      <c r="AB328" s="161">
        <f t="shared" ref="AB328:AB329" si="22">X328*Y328*AA328</f>
        <v>18000000</v>
      </c>
      <c r="AC328" s="249"/>
      <c r="AD328" s="252"/>
      <c r="AE328" s="26"/>
    </row>
    <row r="329" spans="1:31" s="74" customFormat="1" ht="47.25" customHeight="1">
      <c r="A329" s="269"/>
      <c r="B329" s="266"/>
      <c r="C329" s="264"/>
      <c r="D329" s="264"/>
      <c r="E329" s="264"/>
      <c r="F329" s="264"/>
      <c r="G329" s="249"/>
      <c r="H329" s="263"/>
      <c r="I329" s="317"/>
      <c r="J329" s="249"/>
      <c r="K329" s="249"/>
      <c r="L329" s="249"/>
      <c r="M329" s="249"/>
      <c r="N329" s="249"/>
      <c r="O329" s="249"/>
      <c r="P329" s="249"/>
      <c r="Q329" s="249"/>
      <c r="R329" s="249"/>
      <c r="S329" s="249"/>
      <c r="T329" s="165" t="s">
        <v>411</v>
      </c>
      <c r="U329" s="72"/>
      <c r="V329" s="72"/>
      <c r="W329" s="163" t="s">
        <v>0</v>
      </c>
      <c r="X329" s="161">
        <v>288</v>
      </c>
      <c r="Y329" s="45"/>
      <c r="Z329" s="63"/>
      <c r="AA329" s="75">
        <v>0</v>
      </c>
      <c r="AB329" s="161">
        <f t="shared" si="22"/>
        <v>0</v>
      </c>
      <c r="AC329" s="249"/>
      <c r="AD329" s="252"/>
      <c r="AE329" s="26"/>
    </row>
    <row r="330" spans="1:31" s="74" customFormat="1" ht="35.25" customHeight="1">
      <c r="A330" s="269"/>
      <c r="B330" s="266"/>
      <c r="C330" s="269">
        <v>64</v>
      </c>
      <c r="D330" s="269">
        <v>449</v>
      </c>
      <c r="E330" s="269">
        <v>521.5</v>
      </c>
      <c r="F330" s="269" t="s">
        <v>26</v>
      </c>
      <c r="G330" s="250">
        <v>504</v>
      </c>
      <c r="H330" s="283"/>
      <c r="I330" s="317"/>
      <c r="J330" s="249"/>
      <c r="K330" s="249"/>
      <c r="L330" s="249"/>
      <c r="M330" s="249"/>
      <c r="N330" s="249"/>
      <c r="O330" s="249"/>
      <c r="P330" s="249"/>
      <c r="Q330" s="249"/>
      <c r="R330" s="249"/>
      <c r="S330" s="249"/>
      <c r="T330" s="165" t="s">
        <v>472</v>
      </c>
      <c r="U330" s="72"/>
      <c r="V330" s="72"/>
      <c r="W330" s="163" t="s">
        <v>441</v>
      </c>
      <c r="X330" s="161">
        <v>5.6</v>
      </c>
      <c r="Y330" s="45"/>
      <c r="Z330" s="63"/>
      <c r="AA330" s="75"/>
      <c r="AB330" s="161"/>
      <c r="AC330" s="249"/>
      <c r="AD330" s="252"/>
      <c r="AE330" s="26"/>
    </row>
    <row r="331" spans="1:31" s="74" customFormat="1" ht="24" customHeight="1">
      <c r="A331" s="269"/>
      <c r="B331" s="266"/>
      <c r="C331" s="269"/>
      <c r="D331" s="269"/>
      <c r="E331" s="269"/>
      <c r="F331" s="269"/>
      <c r="G331" s="250"/>
      <c r="H331" s="283"/>
      <c r="I331" s="317"/>
      <c r="J331" s="249"/>
      <c r="K331" s="249"/>
      <c r="L331" s="249"/>
      <c r="M331" s="249"/>
      <c r="N331" s="249"/>
      <c r="O331" s="249"/>
      <c r="P331" s="249"/>
      <c r="Q331" s="249"/>
      <c r="R331" s="249"/>
      <c r="S331" s="249"/>
      <c r="T331" s="84" t="s">
        <v>486</v>
      </c>
      <c r="U331" s="78"/>
      <c r="V331" s="78"/>
      <c r="W331" s="163" t="s">
        <v>0</v>
      </c>
      <c r="X331" s="161">
        <v>7.5</v>
      </c>
      <c r="Y331" s="45"/>
      <c r="Z331" s="63"/>
      <c r="AA331" s="75"/>
      <c r="AB331" s="161"/>
      <c r="AC331" s="249"/>
      <c r="AD331" s="252"/>
      <c r="AE331" s="26"/>
    </row>
    <row r="332" spans="1:31" s="74" customFormat="1" ht="21.75" customHeight="1">
      <c r="A332" s="269"/>
      <c r="B332" s="266"/>
      <c r="C332" s="269"/>
      <c r="D332" s="269"/>
      <c r="E332" s="269"/>
      <c r="F332" s="269"/>
      <c r="G332" s="250"/>
      <c r="H332" s="283"/>
      <c r="I332" s="317"/>
      <c r="J332" s="249"/>
      <c r="K332" s="249"/>
      <c r="L332" s="249"/>
      <c r="M332" s="249"/>
      <c r="N332" s="249"/>
      <c r="O332" s="249"/>
      <c r="P332" s="249"/>
      <c r="Q332" s="249"/>
      <c r="R332" s="249"/>
      <c r="S332" s="249"/>
      <c r="T332" s="165" t="s">
        <v>403</v>
      </c>
      <c r="U332" s="72"/>
      <c r="V332" s="72"/>
      <c r="W332" s="163" t="s">
        <v>3</v>
      </c>
      <c r="X332" s="161">
        <v>2</v>
      </c>
      <c r="Y332" s="45"/>
      <c r="Z332" s="63"/>
      <c r="AA332" s="75"/>
      <c r="AB332" s="161"/>
      <c r="AC332" s="249"/>
      <c r="AD332" s="252"/>
      <c r="AE332" s="26"/>
    </row>
    <row r="333" spans="1:31" s="74" customFormat="1" ht="25.5" customHeight="1">
      <c r="A333" s="269">
        <v>32</v>
      </c>
      <c r="B333" s="266" t="s">
        <v>460</v>
      </c>
      <c r="C333" s="264">
        <v>64</v>
      </c>
      <c r="D333" s="264">
        <v>411</v>
      </c>
      <c r="E333" s="264">
        <v>716.8</v>
      </c>
      <c r="F333" s="264" t="s">
        <v>26</v>
      </c>
      <c r="G333" s="249">
        <v>720</v>
      </c>
      <c r="H333" s="263">
        <f>E333-G333</f>
        <v>-3.2000000000000455</v>
      </c>
      <c r="I333" s="320">
        <f>G333+E344</f>
        <v>1655.1</v>
      </c>
      <c r="J333" s="249">
        <v>2406</v>
      </c>
      <c r="K333" s="249"/>
      <c r="L333" s="249">
        <f>I333/J333*100</f>
        <v>68.790523690773071</v>
      </c>
      <c r="M333" s="249">
        <v>6</v>
      </c>
      <c r="N333" s="249">
        <v>4</v>
      </c>
      <c r="O333" s="249">
        <v>80000</v>
      </c>
      <c r="P333" s="249">
        <f>O333*I333</f>
        <v>132408000</v>
      </c>
      <c r="Q333" s="249">
        <f>P333*3</f>
        <v>397224000</v>
      </c>
      <c r="R333" s="249">
        <f>M333*N333*R7</f>
        <v>12240000</v>
      </c>
      <c r="S333" s="249">
        <f>SUM(P333:R358)</f>
        <v>541872000</v>
      </c>
      <c r="T333" s="59" t="s">
        <v>406</v>
      </c>
      <c r="U333" s="72"/>
      <c r="V333" s="72"/>
      <c r="W333" s="163" t="s">
        <v>0</v>
      </c>
      <c r="X333" s="179">
        <v>360</v>
      </c>
      <c r="Y333" s="45">
        <v>180000</v>
      </c>
      <c r="Z333" s="77"/>
      <c r="AA333" s="65">
        <v>1</v>
      </c>
      <c r="AB333" s="161">
        <f t="shared" ref="AB333:AB336" si="23">X333*Y333*AA333</f>
        <v>64800000</v>
      </c>
      <c r="AC333" s="249">
        <f>SUM(AB333:AB343)</f>
        <v>138015000</v>
      </c>
      <c r="AD333" s="252">
        <f>S333+AC333+AC344</f>
        <v>879637000</v>
      </c>
      <c r="AE333" s="26" t="s">
        <v>404</v>
      </c>
    </row>
    <row r="334" spans="1:31" s="74" customFormat="1" ht="35.25" customHeight="1">
      <c r="A334" s="269"/>
      <c r="B334" s="266"/>
      <c r="C334" s="264"/>
      <c r="D334" s="264"/>
      <c r="E334" s="264"/>
      <c r="F334" s="264"/>
      <c r="G334" s="249"/>
      <c r="H334" s="263"/>
      <c r="I334" s="320"/>
      <c r="J334" s="249"/>
      <c r="K334" s="249"/>
      <c r="L334" s="249"/>
      <c r="M334" s="249"/>
      <c r="N334" s="249"/>
      <c r="O334" s="249"/>
      <c r="P334" s="249"/>
      <c r="Q334" s="249"/>
      <c r="R334" s="249"/>
      <c r="S334" s="249"/>
      <c r="T334" s="43" t="s">
        <v>420</v>
      </c>
      <c r="U334" s="72">
        <v>25</v>
      </c>
      <c r="V334" s="72">
        <f>(G333-X333)/U334</f>
        <v>14.4</v>
      </c>
      <c r="W334" s="163" t="s">
        <v>2</v>
      </c>
      <c r="X334" s="161">
        <v>15</v>
      </c>
      <c r="Y334" s="45"/>
      <c r="Z334" s="63"/>
      <c r="AA334" s="75"/>
      <c r="AB334" s="161">
        <f t="shared" si="23"/>
        <v>0</v>
      </c>
      <c r="AC334" s="249"/>
      <c r="AD334" s="252"/>
      <c r="AE334" s="26"/>
    </row>
    <row r="335" spans="1:31" s="74" customFormat="1" ht="22.5" customHeight="1">
      <c r="A335" s="269"/>
      <c r="B335" s="266"/>
      <c r="C335" s="264"/>
      <c r="D335" s="264"/>
      <c r="E335" s="264"/>
      <c r="F335" s="264"/>
      <c r="G335" s="249"/>
      <c r="H335" s="263"/>
      <c r="I335" s="320"/>
      <c r="J335" s="249"/>
      <c r="K335" s="249"/>
      <c r="L335" s="249"/>
      <c r="M335" s="249"/>
      <c r="N335" s="249"/>
      <c r="O335" s="249"/>
      <c r="P335" s="249"/>
      <c r="Q335" s="249"/>
      <c r="R335" s="249"/>
      <c r="S335" s="249"/>
      <c r="T335" s="57" t="s">
        <v>399</v>
      </c>
      <c r="U335" s="72"/>
      <c r="V335" s="72"/>
      <c r="W335" s="163" t="s">
        <v>2</v>
      </c>
      <c r="X335" s="161">
        <v>14</v>
      </c>
      <c r="Y335" s="45">
        <v>4500000</v>
      </c>
      <c r="Z335" s="63"/>
      <c r="AA335" s="75">
        <v>1</v>
      </c>
      <c r="AB335" s="161">
        <f t="shared" si="23"/>
        <v>63000000</v>
      </c>
      <c r="AC335" s="249"/>
      <c r="AD335" s="252"/>
      <c r="AE335" s="26"/>
    </row>
    <row r="336" spans="1:31" s="74" customFormat="1" ht="24" customHeight="1">
      <c r="A336" s="269"/>
      <c r="B336" s="266"/>
      <c r="C336" s="264"/>
      <c r="D336" s="264"/>
      <c r="E336" s="264"/>
      <c r="F336" s="264"/>
      <c r="G336" s="249"/>
      <c r="H336" s="263"/>
      <c r="I336" s="320"/>
      <c r="J336" s="249"/>
      <c r="K336" s="249"/>
      <c r="L336" s="249"/>
      <c r="M336" s="249"/>
      <c r="N336" s="249"/>
      <c r="O336" s="249"/>
      <c r="P336" s="249"/>
      <c r="Q336" s="249"/>
      <c r="R336" s="249"/>
      <c r="S336" s="249"/>
      <c r="T336" s="57" t="s">
        <v>417</v>
      </c>
      <c r="U336" s="72"/>
      <c r="V336" s="72">
        <f>0.3*1</f>
        <v>0.3</v>
      </c>
      <c r="W336" s="163" t="s">
        <v>2</v>
      </c>
      <c r="X336" s="161">
        <v>1</v>
      </c>
      <c r="Y336" s="45">
        <v>4500000</v>
      </c>
      <c r="Z336" s="63"/>
      <c r="AA336" s="75">
        <v>0</v>
      </c>
      <c r="AB336" s="161">
        <f t="shared" si="23"/>
        <v>0</v>
      </c>
      <c r="AC336" s="249"/>
      <c r="AD336" s="252"/>
      <c r="AE336" s="26"/>
    </row>
    <row r="337" spans="1:31" s="74" customFormat="1" ht="37.5" customHeight="1">
      <c r="A337" s="269"/>
      <c r="B337" s="266"/>
      <c r="C337" s="264"/>
      <c r="D337" s="264"/>
      <c r="E337" s="264"/>
      <c r="F337" s="264"/>
      <c r="G337" s="249"/>
      <c r="H337" s="263"/>
      <c r="I337" s="320"/>
      <c r="J337" s="249"/>
      <c r="K337" s="249"/>
      <c r="L337" s="249"/>
      <c r="M337" s="249"/>
      <c r="N337" s="249"/>
      <c r="O337" s="249"/>
      <c r="P337" s="249"/>
      <c r="Q337" s="249"/>
      <c r="R337" s="249"/>
      <c r="S337" s="249"/>
      <c r="T337" s="43" t="s">
        <v>717</v>
      </c>
      <c r="U337" s="72">
        <v>4</v>
      </c>
      <c r="V337" s="72">
        <f>360/U337</f>
        <v>90</v>
      </c>
      <c r="W337" s="163" t="s">
        <v>392</v>
      </c>
      <c r="X337" s="161">
        <v>30</v>
      </c>
      <c r="Y337" s="45"/>
      <c r="Z337" s="77"/>
      <c r="AA337" s="65"/>
      <c r="AB337" s="161"/>
      <c r="AC337" s="249"/>
      <c r="AD337" s="252"/>
      <c r="AE337" s="26"/>
    </row>
    <row r="338" spans="1:31" s="74" customFormat="1" ht="23.25" customHeight="1">
      <c r="A338" s="269"/>
      <c r="B338" s="266"/>
      <c r="C338" s="264"/>
      <c r="D338" s="264"/>
      <c r="E338" s="264"/>
      <c r="F338" s="264"/>
      <c r="G338" s="249"/>
      <c r="H338" s="263"/>
      <c r="I338" s="320"/>
      <c r="J338" s="249"/>
      <c r="K338" s="249"/>
      <c r="L338" s="249"/>
      <c r="M338" s="249"/>
      <c r="N338" s="249"/>
      <c r="O338" s="249"/>
      <c r="P338" s="249"/>
      <c r="Q338" s="249"/>
      <c r="R338" s="249"/>
      <c r="S338" s="249"/>
      <c r="T338" s="57" t="s">
        <v>399</v>
      </c>
      <c r="U338" s="72"/>
      <c r="V338" s="72">
        <f>0.3*V337</f>
        <v>27</v>
      </c>
      <c r="W338" s="163" t="s">
        <v>392</v>
      </c>
      <c r="X338" s="179">
        <v>27</v>
      </c>
      <c r="Y338" s="45">
        <v>150000</v>
      </c>
      <c r="Z338" s="63"/>
      <c r="AA338" s="75">
        <v>0.3</v>
      </c>
      <c r="AB338" s="161">
        <f t="shared" ref="AB338" si="24">X338*Y338*AA338</f>
        <v>1215000</v>
      </c>
      <c r="AC338" s="249"/>
      <c r="AD338" s="252"/>
      <c r="AE338" s="26"/>
    </row>
    <row r="339" spans="1:31" s="74" customFormat="1" ht="21.75" customHeight="1">
      <c r="A339" s="269"/>
      <c r="B339" s="266"/>
      <c r="C339" s="264"/>
      <c r="D339" s="264"/>
      <c r="E339" s="264"/>
      <c r="F339" s="264"/>
      <c r="G339" s="249"/>
      <c r="H339" s="263"/>
      <c r="I339" s="320"/>
      <c r="J339" s="249"/>
      <c r="K339" s="249"/>
      <c r="L339" s="249"/>
      <c r="M339" s="249"/>
      <c r="N339" s="249"/>
      <c r="O339" s="249"/>
      <c r="P339" s="249"/>
      <c r="Q339" s="249"/>
      <c r="R339" s="249"/>
      <c r="S339" s="249"/>
      <c r="T339" s="57" t="s">
        <v>417</v>
      </c>
      <c r="U339" s="72"/>
      <c r="V339" s="72"/>
      <c r="W339" s="163" t="s">
        <v>392</v>
      </c>
      <c r="X339" s="179">
        <v>3</v>
      </c>
      <c r="Y339" s="45">
        <v>150000</v>
      </c>
      <c r="Z339" s="63"/>
      <c r="AA339" s="75">
        <v>0</v>
      </c>
      <c r="AB339" s="161">
        <f t="shared" ref="AB339" si="25">X339*Y339*AA339/100</f>
        <v>0</v>
      </c>
      <c r="AC339" s="249"/>
      <c r="AD339" s="252"/>
      <c r="AE339" s="26"/>
    </row>
    <row r="340" spans="1:31" s="74" customFormat="1" ht="27.75" customHeight="1">
      <c r="A340" s="269"/>
      <c r="B340" s="266"/>
      <c r="C340" s="264"/>
      <c r="D340" s="264"/>
      <c r="E340" s="264"/>
      <c r="F340" s="264"/>
      <c r="G340" s="249"/>
      <c r="H340" s="263"/>
      <c r="I340" s="320"/>
      <c r="J340" s="249"/>
      <c r="K340" s="249"/>
      <c r="L340" s="249"/>
      <c r="M340" s="249"/>
      <c r="N340" s="249"/>
      <c r="O340" s="249"/>
      <c r="P340" s="249"/>
      <c r="Q340" s="249"/>
      <c r="R340" s="249"/>
      <c r="S340" s="249"/>
      <c r="T340" s="57" t="s">
        <v>461</v>
      </c>
      <c r="U340" s="72"/>
      <c r="V340" s="72"/>
      <c r="W340" s="163" t="s">
        <v>0</v>
      </c>
      <c r="X340" s="161">
        <v>300</v>
      </c>
      <c r="Y340" s="45">
        <v>30000</v>
      </c>
      <c r="Z340" s="63"/>
      <c r="AA340" s="65">
        <v>1</v>
      </c>
      <c r="AB340" s="161">
        <f>X340*Y340*AA340</f>
        <v>9000000</v>
      </c>
      <c r="AC340" s="249"/>
      <c r="AD340" s="252"/>
      <c r="AE340" s="26"/>
    </row>
    <row r="341" spans="1:31" s="74" customFormat="1" ht="48" customHeight="1">
      <c r="A341" s="269"/>
      <c r="B341" s="266"/>
      <c r="C341" s="264"/>
      <c r="D341" s="264"/>
      <c r="E341" s="264"/>
      <c r="F341" s="264"/>
      <c r="G341" s="249"/>
      <c r="H341" s="263"/>
      <c r="I341" s="320"/>
      <c r="J341" s="249"/>
      <c r="K341" s="249"/>
      <c r="L341" s="249"/>
      <c r="M341" s="249"/>
      <c r="N341" s="249"/>
      <c r="O341" s="249"/>
      <c r="P341" s="249"/>
      <c r="Q341" s="249"/>
      <c r="R341" s="249"/>
      <c r="S341" s="249"/>
      <c r="T341" s="47" t="s">
        <v>414</v>
      </c>
      <c r="U341" s="72"/>
      <c r="V341" s="72"/>
      <c r="W341" s="163" t="s">
        <v>6</v>
      </c>
      <c r="X341" s="168">
        <v>75</v>
      </c>
      <c r="Y341" s="45"/>
      <c r="Z341" s="63"/>
      <c r="AA341" s="75">
        <v>0</v>
      </c>
      <c r="AB341" s="161">
        <f t="shared" ref="AB341:AB343" si="26">X341*Y341*AA341</f>
        <v>0</v>
      </c>
      <c r="AC341" s="249"/>
      <c r="AD341" s="252"/>
      <c r="AE341" s="26"/>
    </row>
    <row r="342" spans="1:31" s="74" customFormat="1" ht="21.75" customHeight="1">
      <c r="A342" s="269"/>
      <c r="B342" s="266"/>
      <c r="C342" s="264"/>
      <c r="D342" s="264"/>
      <c r="E342" s="264"/>
      <c r="F342" s="264"/>
      <c r="G342" s="249"/>
      <c r="H342" s="263"/>
      <c r="I342" s="320"/>
      <c r="J342" s="249"/>
      <c r="K342" s="249"/>
      <c r="L342" s="249"/>
      <c r="M342" s="249"/>
      <c r="N342" s="249"/>
      <c r="O342" s="249"/>
      <c r="P342" s="249"/>
      <c r="Q342" s="249"/>
      <c r="R342" s="249"/>
      <c r="S342" s="249"/>
      <c r="T342" s="165" t="s">
        <v>428</v>
      </c>
      <c r="U342" s="72"/>
      <c r="V342" s="72"/>
      <c r="W342" s="163" t="s">
        <v>395</v>
      </c>
      <c r="X342" s="168">
        <v>1</v>
      </c>
      <c r="Y342" s="45"/>
      <c r="Z342" s="63"/>
      <c r="AA342" s="75">
        <v>0</v>
      </c>
      <c r="AB342" s="161">
        <f t="shared" si="26"/>
        <v>0</v>
      </c>
      <c r="AC342" s="249"/>
      <c r="AD342" s="252"/>
      <c r="AE342" s="26"/>
    </row>
    <row r="343" spans="1:31" s="74" customFormat="1" ht="26.25" customHeight="1">
      <c r="A343" s="269"/>
      <c r="B343" s="266"/>
      <c r="C343" s="264"/>
      <c r="D343" s="264"/>
      <c r="E343" s="264"/>
      <c r="F343" s="264"/>
      <c r="G343" s="249"/>
      <c r="H343" s="263"/>
      <c r="I343" s="320"/>
      <c r="J343" s="249"/>
      <c r="K343" s="249"/>
      <c r="L343" s="249"/>
      <c r="M343" s="249"/>
      <c r="N343" s="249"/>
      <c r="O343" s="249"/>
      <c r="P343" s="249"/>
      <c r="Q343" s="249"/>
      <c r="R343" s="249"/>
      <c r="S343" s="249"/>
      <c r="T343" s="84" t="s">
        <v>462</v>
      </c>
      <c r="U343" s="72"/>
      <c r="V343" s="72"/>
      <c r="W343" s="163" t="s">
        <v>441</v>
      </c>
      <c r="X343" s="168">
        <v>0.4</v>
      </c>
      <c r="Y343" s="162"/>
      <c r="Z343" s="63"/>
      <c r="AA343" s="65">
        <v>0</v>
      </c>
      <c r="AB343" s="161">
        <f t="shared" si="26"/>
        <v>0</v>
      </c>
      <c r="AC343" s="249"/>
      <c r="AD343" s="252"/>
      <c r="AE343" s="26"/>
    </row>
    <row r="344" spans="1:31" s="74" customFormat="1" ht="35.25" customHeight="1">
      <c r="A344" s="269"/>
      <c r="B344" s="266"/>
      <c r="C344" s="269">
        <v>64</v>
      </c>
      <c r="D344" s="269">
        <v>579</v>
      </c>
      <c r="E344" s="269">
        <v>935.1</v>
      </c>
      <c r="F344" s="269" t="s">
        <v>26</v>
      </c>
      <c r="G344" s="250">
        <v>966</v>
      </c>
      <c r="H344" s="283"/>
      <c r="I344" s="320"/>
      <c r="J344" s="249"/>
      <c r="K344" s="249"/>
      <c r="L344" s="249"/>
      <c r="M344" s="249"/>
      <c r="N344" s="249"/>
      <c r="O344" s="249"/>
      <c r="P344" s="249"/>
      <c r="Q344" s="249"/>
      <c r="R344" s="249"/>
      <c r="S344" s="249"/>
      <c r="T344" s="43" t="s">
        <v>410</v>
      </c>
      <c r="U344" s="72">
        <v>25</v>
      </c>
      <c r="V344" s="72">
        <f>(E344-X355-X356)/U344</f>
        <v>36.564</v>
      </c>
      <c r="W344" s="163" t="s">
        <v>2</v>
      </c>
      <c r="X344" s="161">
        <v>35</v>
      </c>
      <c r="Y344" s="45"/>
      <c r="Z344" s="63"/>
      <c r="AA344" s="75"/>
      <c r="AB344" s="161"/>
      <c r="AC344" s="249">
        <f>SUM(AB344:AB358)</f>
        <v>199750000</v>
      </c>
      <c r="AD344" s="252"/>
      <c r="AE344" s="26" t="s">
        <v>478</v>
      </c>
    </row>
    <row r="345" spans="1:31" s="74" customFormat="1" ht="23.25" customHeight="1">
      <c r="A345" s="269"/>
      <c r="B345" s="266"/>
      <c r="C345" s="269"/>
      <c r="D345" s="269"/>
      <c r="E345" s="269"/>
      <c r="F345" s="269"/>
      <c r="G345" s="250"/>
      <c r="H345" s="283"/>
      <c r="I345" s="320"/>
      <c r="J345" s="249"/>
      <c r="K345" s="249"/>
      <c r="L345" s="249"/>
      <c r="M345" s="249"/>
      <c r="N345" s="249"/>
      <c r="O345" s="249"/>
      <c r="P345" s="249"/>
      <c r="Q345" s="249"/>
      <c r="R345" s="249"/>
      <c r="S345" s="249"/>
      <c r="T345" s="57" t="s">
        <v>399</v>
      </c>
      <c r="U345" s="72"/>
      <c r="V345" s="72"/>
      <c r="W345" s="163" t="s">
        <v>2</v>
      </c>
      <c r="X345" s="161">
        <v>35</v>
      </c>
      <c r="Y345" s="45">
        <v>4500000</v>
      </c>
      <c r="Z345" s="63"/>
      <c r="AA345" s="75">
        <v>1</v>
      </c>
      <c r="AB345" s="161">
        <f>X345*Y345*AA345</f>
        <v>157500000</v>
      </c>
      <c r="AC345" s="249"/>
      <c r="AD345" s="252"/>
      <c r="AE345" s="26"/>
    </row>
    <row r="346" spans="1:31" s="74" customFormat="1" ht="32.25" customHeight="1">
      <c r="A346" s="269"/>
      <c r="B346" s="266"/>
      <c r="C346" s="269"/>
      <c r="D346" s="269"/>
      <c r="E346" s="269"/>
      <c r="F346" s="269"/>
      <c r="G346" s="250"/>
      <c r="H346" s="283"/>
      <c r="I346" s="320"/>
      <c r="J346" s="249"/>
      <c r="K346" s="249"/>
      <c r="L346" s="249"/>
      <c r="M346" s="249"/>
      <c r="N346" s="249"/>
      <c r="O346" s="249"/>
      <c r="P346" s="249"/>
      <c r="Q346" s="249"/>
      <c r="R346" s="249"/>
      <c r="S346" s="249"/>
      <c r="T346" s="43" t="s">
        <v>442</v>
      </c>
      <c r="U346" s="72">
        <v>20</v>
      </c>
      <c r="V346" s="72">
        <f>(G344-X356)/U346</f>
        <v>48</v>
      </c>
      <c r="W346" s="163" t="s">
        <v>2</v>
      </c>
      <c r="X346" s="161">
        <v>14</v>
      </c>
      <c r="Y346" s="45"/>
      <c r="Z346" s="63"/>
      <c r="AA346" s="75"/>
      <c r="AB346" s="161">
        <f t="shared" ref="AB346:AB347" si="27">X346*Y346*AA346</f>
        <v>0</v>
      </c>
      <c r="AC346" s="249"/>
      <c r="AD346" s="252"/>
      <c r="AE346" s="26"/>
    </row>
    <row r="347" spans="1:31" s="74" customFormat="1" ht="23.25" customHeight="1">
      <c r="A347" s="269"/>
      <c r="B347" s="266"/>
      <c r="C347" s="269"/>
      <c r="D347" s="269"/>
      <c r="E347" s="269"/>
      <c r="F347" s="269"/>
      <c r="G347" s="250"/>
      <c r="H347" s="283"/>
      <c r="I347" s="320"/>
      <c r="J347" s="249"/>
      <c r="K347" s="249"/>
      <c r="L347" s="249"/>
      <c r="M347" s="249"/>
      <c r="N347" s="249"/>
      <c r="O347" s="249"/>
      <c r="P347" s="249"/>
      <c r="Q347" s="249"/>
      <c r="R347" s="249"/>
      <c r="S347" s="249"/>
      <c r="T347" s="57" t="s">
        <v>463</v>
      </c>
      <c r="U347" s="72"/>
      <c r="V347" s="72"/>
      <c r="W347" s="163" t="s">
        <v>2</v>
      </c>
      <c r="X347" s="161">
        <v>14</v>
      </c>
      <c r="Y347" s="45">
        <v>2500000</v>
      </c>
      <c r="Z347" s="63"/>
      <c r="AA347" s="75">
        <v>0.5</v>
      </c>
      <c r="AB347" s="161">
        <f t="shared" si="27"/>
        <v>17500000</v>
      </c>
      <c r="AC347" s="249"/>
      <c r="AD347" s="252"/>
      <c r="AE347" s="26"/>
    </row>
    <row r="348" spans="1:31" s="74" customFormat="1" ht="37.5" customHeight="1">
      <c r="A348" s="269"/>
      <c r="B348" s="266"/>
      <c r="C348" s="269"/>
      <c r="D348" s="269"/>
      <c r="E348" s="269"/>
      <c r="F348" s="269"/>
      <c r="G348" s="250"/>
      <c r="H348" s="283"/>
      <c r="I348" s="320"/>
      <c r="J348" s="249"/>
      <c r="K348" s="249"/>
      <c r="L348" s="249"/>
      <c r="M348" s="249"/>
      <c r="N348" s="249"/>
      <c r="O348" s="249"/>
      <c r="P348" s="249"/>
      <c r="Q348" s="249"/>
      <c r="R348" s="249"/>
      <c r="S348" s="249"/>
      <c r="T348" s="165" t="s">
        <v>464</v>
      </c>
      <c r="U348" s="72">
        <v>25</v>
      </c>
      <c r="V348" s="72">
        <v>37.799999999999997</v>
      </c>
      <c r="W348" s="163" t="s">
        <v>2</v>
      </c>
      <c r="X348" s="168">
        <v>5</v>
      </c>
      <c r="Y348" s="45"/>
      <c r="Z348" s="63"/>
      <c r="AA348" s="75"/>
      <c r="AB348" s="161"/>
      <c r="AC348" s="249"/>
      <c r="AD348" s="252"/>
      <c r="AE348" s="26"/>
    </row>
    <row r="349" spans="1:31" s="74" customFormat="1" ht="23.25" customHeight="1">
      <c r="A349" s="269"/>
      <c r="B349" s="266"/>
      <c r="C349" s="269"/>
      <c r="D349" s="269"/>
      <c r="E349" s="269"/>
      <c r="F349" s="269"/>
      <c r="G349" s="250"/>
      <c r="H349" s="283"/>
      <c r="I349" s="320"/>
      <c r="J349" s="249"/>
      <c r="K349" s="249"/>
      <c r="L349" s="249"/>
      <c r="M349" s="249"/>
      <c r="N349" s="249"/>
      <c r="O349" s="249"/>
      <c r="P349" s="249"/>
      <c r="Q349" s="249"/>
      <c r="R349" s="249"/>
      <c r="S349" s="249"/>
      <c r="T349" s="57" t="s">
        <v>399</v>
      </c>
      <c r="U349" s="72"/>
      <c r="V349" s="72"/>
      <c r="W349" s="163" t="s">
        <v>2</v>
      </c>
      <c r="X349" s="161">
        <v>5</v>
      </c>
      <c r="Y349" s="45">
        <v>1500000</v>
      </c>
      <c r="Z349" s="63"/>
      <c r="AA349" s="75">
        <v>0.5</v>
      </c>
      <c r="AB349" s="161">
        <f t="shared" ref="AB349:AB368" si="28">X349*Y349*AA349</f>
        <v>3750000</v>
      </c>
      <c r="AC349" s="249"/>
      <c r="AD349" s="252"/>
      <c r="AE349" s="26"/>
    </row>
    <row r="350" spans="1:31" s="74" customFormat="1" ht="24.75" customHeight="1">
      <c r="A350" s="269"/>
      <c r="B350" s="266"/>
      <c r="C350" s="269"/>
      <c r="D350" s="269"/>
      <c r="E350" s="269"/>
      <c r="F350" s="269"/>
      <c r="G350" s="250"/>
      <c r="H350" s="283"/>
      <c r="I350" s="320"/>
      <c r="J350" s="249"/>
      <c r="K350" s="249"/>
      <c r="L350" s="249"/>
      <c r="M350" s="249"/>
      <c r="N350" s="249"/>
      <c r="O350" s="249"/>
      <c r="P350" s="249"/>
      <c r="Q350" s="249"/>
      <c r="R350" s="249"/>
      <c r="S350" s="249"/>
      <c r="T350" s="57" t="s">
        <v>461</v>
      </c>
      <c r="U350" s="72"/>
      <c r="V350" s="72"/>
      <c r="W350" s="163" t="s">
        <v>0</v>
      </c>
      <c r="X350" s="161">
        <v>700</v>
      </c>
      <c r="Y350" s="45">
        <v>30000</v>
      </c>
      <c r="Z350" s="63"/>
      <c r="AA350" s="65">
        <v>1</v>
      </c>
      <c r="AB350" s="161">
        <f>X350*Y350*AA350</f>
        <v>21000000</v>
      </c>
      <c r="AC350" s="249"/>
      <c r="AD350" s="252"/>
      <c r="AE350" s="26"/>
    </row>
    <row r="351" spans="1:31" s="74" customFormat="1" ht="38.25" customHeight="1">
      <c r="A351" s="269"/>
      <c r="B351" s="266"/>
      <c r="C351" s="269"/>
      <c r="D351" s="269"/>
      <c r="E351" s="269"/>
      <c r="F351" s="269"/>
      <c r="G351" s="250"/>
      <c r="H351" s="283"/>
      <c r="I351" s="320"/>
      <c r="J351" s="249"/>
      <c r="K351" s="249"/>
      <c r="L351" s="249"/>
      <c r="M351" s="249"/>
      <c r="N351" s="249"/>
      <c r="O351" s="249"/>
      <c r="P351" s="249"/>
      <c r="Q351" s="249"/>
      <c r="R351" s="249"/>
      <c r="S351" s="249"/>
      <c r="T351" s="165" t="s">
        <v>465</v>
      </c>
      <c r="U351" s="72"/>
      <c r="V351" s="72"/>
      <c r="W351" s="163" t="s">
        <v>0</v>
      </c>
      <c r="X351" s="168">
        <v>6</v>
      </c>
      <c r="Y351" s="45"/>
      <c r="Z351" s="63"/>
      <c r="AA351" s="75"/>
      <c r="AB351" s="161"/>
      <c r="AC351" s="249"/>
      <c r="AD351" s="252"/>
      <c r="AE351" s="26"/>
    </row>
    <row r="352" spans="1:31" s="74" customFormat="1" ht="39" customHeight="1">
      <c r="A352" s="269"/>
      <c r="B352" s="266"/>
      <c r="C352" s="269"/>
      <c r="D352" s="269"/>
      <c r="E352" s="269"/>
      <c r="F352" s="269"/>
      <c r="G352" s="250"/>
      <c r="H352" s="283"/>
      <c r="I352" s="320"/>
      <c r="J352" s="249"/>
      <c r="K352" s="249"/>
      <c r="L352" s="249"/>
      <c r="M352" s="249"/>
      <c r="N352" s="249"/>
      <c r="O352" s="249"/>
      <c r="P352" s="249"/>
      <c r="Q352" s="249"/>
      <c r="R352" s="249"/>
      <c r="S352" s="249"/>
      <c r="T352" s="165" t="s">
        <v>485</v>
      </c>
      <c r="U352" s="72"/>
      <c r="V352" s="72"/>
      <c r="W352" s="163" t="s">
        <v>396</v>
      </c>
      <c r="X352" s="161">
        <v>40</v>
      </c>
      <c r="Y352" s="45"/>
      <c r="Z352" s="63"/>
      <c r="AA352" s="75"/>
      <c r="AB352" s="161"/>
      <c r="AC352" s="249"/>
      <c r="AD352" s="252"/>
      <c r="AE352" s="26"/>
    </row>
    <row r="353" spans="1:35" s="74" customFormat="1" ht="23.25" customHeight="1">
      <c r="A353" s="269"/>
      <c r="B353" s="266"/>
      <c r="C353" s="269"/>
      <c r="D353" s="269"/>
      <c r="E353" s="269"/>
      <c r="F353" s="269"/>
      <c r="G353" s="250"/>
      <c r="H353" s="283"/>
      <c r="I353" s="320"/>
      <c r="J353" s="249"/>
      <c r="K353" s="249"/>
      <c r="L353" s="249"/>
      <c r="M353" s="249"/>
      <c r="N353" s="249"/>
      <c r="O353" s="249"/>
      <c r="P353" s="249"/>
      <c r="Q353" s="249"/>
      <c r="R353" s="249"/>
      <c r="S353" s="249"/>
      <c r="T353" s="84" t="s">
        <v>462</v>
      </c>
      <c r="U353" s="72"/>
      <c r="V353" s="72"/>
      <c r="W353" s="163" t="s">
        <v>441</v>
      </c>
      <c r="X353" s="168">
        <v>0.8</v>
      </c>
      <c r="Y353" s="45"/>
      <c r="Z353" s="63"/>
      <c r="AA353" s="75"/>
      <c r="AB353" s="161"/>
      <c r="AC353" s="249"/>
      <c r="AD353" s="252"/>
      <c r="AE353" s="26"/>
    </row>
    <row r="354" spans="1:35" s="74" customFormat="1" ht="23.25" customHeight="1">
      <c r="A354" s="269"/>
      <c r="B354" s="266"/>
      <c r="C354" s="269"/>
      <c r="D354" s="269"/>
      <c r="E354" s="269"/>
      <c r="F354" s="269"/>
      <c r="G354" s="250"/>
      <c r="H354" s="283"/>
      <c r="I354" s="320"/>
      <c r="J354" s="249"/>
      <c r="K354" s="249"/>
      <c r="L354" s="249"/>
      <c r="M354" s="249"/>
      <c r="N354" s="249"/>
      <c r="O354" s="249"/>
      <c r="P354" s="249"/>
      <c r="Q354" s="249"/>
      <c r="R354" s="249"/>
      <c r="S354" s="249"/>
      <c r="T354" s="84" t="s">
        <v>466</v>
      </c>
      <c r="U354" s="78"/>
      <c r="V354" s="78"/>
      <c r="W354" s="163" t="s">
        <v>0</v>
      </c>
      <c r="X354" s="161">
        <v>88</v>
      </c>
      <c r="Y354" s="45"/>
      <c r="Z354" s="63"/>
      <c r="AA354" s="75"/>
      <c r="AB354" s="161"/>
      <c r="AC354" s="249"/>
      <c r="AD354" s="252"/>
      <c r="AE354" s="26"/>
    </row>
    <row r="355" spans="1:35" s="74" customFormat="1" ht="21.75" customHeight="1">
      <c r="A355" s="269"/>
      <c r="B355" s="266"/>
      <c r="C355" s="269"/>
      <c r="D355" s="269"/>
      <c r="E355" s="269"/>
      <c r="F355" s="269"/>
      <c r="G355" s="250"/>
      <c r="H355" s="283"/>
      <c r="I355" s="320"/>
      <c r="J355" s="249"/>
      <c r="K355" s="249"/>
      <c r="L355" s="249"/>
      <c r="M355" s="249"/>
      <c r="N355" s="249"/>
      <c r="O355" s="249"/>
      <c r="P355" s="249"/>
      <c r="Q355" s="249"/>
      <c r="R355" s="249"/>
      <c r="S355" s="249"/>
      <c r="T355" s="57" t="s">
        <v>467</v>
      </c>
      <c r="U355" s="72"/>
      <c r="V355" s="72"/>
      <c r="W355" s="163" t="s">
        <v>0</v>
      </c>
      <c r="X355" s="161">
        <v>15</v>
      </c>
      <c r="Y355" s="45"/>
      <c r="Z355" s="63"/>
      <c r="AA355" s="75"/>
      <c r="AB355" s="161"/>
      <c r="AC355" s="249"/>
      <c r="AD355" s="252"/>
      <c r="AE355" s="26"/>
    </row>
    <row r="356" spans="1:35" s="74" customFormat="1" ht="66" customHeight="1">
      <c r="A356" s="269"/>
      <c r="B356" s="266"/>
      <c r="C356" s="269"/>
      <c r="D356" s="269"/>
      <c r="E356" s="269"/>
      <c r="F356" s="269"/>
      <c r="G356" s="250"/>
      <c r="H356" s="283"/>
      <c r="I356" s="320"/>
      <c r="J356" s="249"/>
      <c r="K356" s="249"/>
      <c r="L356" s="249"/>
      <c r="M356" s="249"/>
      <c r="N356" s="249"/>
      <c r="O356" s="249"/>
      <c r="P356" s="249"/>
      <c r="Q356" s="249"/>
      <c r="R356" s="249"/>
      <c r="S356" s="249"/>
      <c r="T356" s="165" t="s">
        <v>468</v>
      </c>
      <c r="U356" s="72"/>
      <c r="V356" s="72"/>
      <c r="W356" s="163" t="s">
        <v>0</v>
      </c>
      <c r="X356" s="161">
        <v>6</v>
      </c>
      <c r="Y356" s="45"/>
      <c r="Z356" s="63"/>
      <c r="AA356" s="75"/>
      <c r="AB356" s="161"/>
      <c r="AC356" s="249"/>
      <c r="AD356" s="252"/>
      <c r="AE356" s="26"/>
    </row>
    <row r="357" spans="1:35" s="74" customFormat="1" ht="48.75" customHeight="1">
      <c r="A357" s="269"/>
      <c r="B357" s="266"/>
      <c r="C357" s="269"/>
      <c r="D357" s="269"/>
      <c r="E357" s="269"/>
      <c r="F357" s="269"/>
      <c r="G357" s="250"/>
      <c r="H357" s="283"/>
      <c r="I357" s="320"/>
      <c r="J357" s="249"/>
      <c r="K357" s="249"/>
      <c r="L357" s="249"/>
      <c r="M357" s="249"/>
      <c r="N357" s="249"/>
      <c r="O357" s="249"/>
      <c r="P357" s="249"/>
      <c r="Q357" s="249"/>
      <c r="R357" s="249"/>
      <c r="S357" s="249"/>
      <c r="T357" s="47" t="s">
        <v>469</v>
      </c>
      <c r="U357" s="72"/>
      <c r="V357" s="72"/>
      <c r="W357" s="163" t="s">
        <v>6</v>
      </c>
      <c r="X357" s="168">
        <v>44</v>
      </c>
      <c r="Y357" s="45"/>
      <c r="Z357" s="63"/>
      <c r="AA357" s="75">
        <v>0</v>
      </c>
      <c r="AB357" s="161">
        <f t="shared" si="28"/>
        <v>0</v>
      </c>
      <c r="AC357" s="249"/>
      <c r="AD357" s="252"/>
      <c r="AE357" s="26"/>
    </row>
    <row r="358" spans="1:35" s="74" customFormat="1" ht="21.75" customHeight="1">
      <c r="A358" s="269"/>
      <c r="B358" s="266"/>
      <c r="C358" s="269"/>
      <c r="D358" s="269"/>
      <c r="E358" s="269"/>
      <c r="F358" s="269"/>
      <c r="G358" s="250"/>
      <c r="H358" s="283"/>
      <c r="I358" s="320"/>
      <c r="J358" s="249"/>
      <c r="K358" s="249"/>
      <c r="L358" s="249"/>
      <c r="M358" s="249"/>
      <c r="N358" s="249"/>
      <c r="O358" s="249"/>
      <c r="P358" s="249"/>
      <c r="Q358" s="249"/>
      <c r="R358" s="249"/>
      <c r="S358" s="249"/>
      <c r="T358" s="165" t="s">
        <v>470</v>
      </c>
      <c r="U358" s="72"/>
      <c r="V358" s="72"/>
      <c r="W358" s="163" t="s">
        <v>395</v>
      </c>
      <c r="X358" s="168">
        <v>1</v>
      </c>
      <c r="Y358" s="45"/>
      <c r="Z358" s="63"/>
      <c r="AA358" s="75">
        <v>0</v>
      </c>
      <c r="AB358" s="161">
        <f t="shared" si="28"/>
        <v>0</v>
      </c>
      <c r="AC358" s="249"/>
      <c r="AD358" s="252"/>
      <c r="AE358" s="26"/>
    </row>
    <row r="359" spans="1:35" s="194" customFormat="1" ht="45" customHeight="1">
      <c r="A359" s="269">
        <v>33</v>
      </c>
      <c r="B359" s="264" t="s">
        <v>665</v>
      </c>
      <c r="C359" s="264">
        <v>64</v>
      </c>
      <c r="D359" s="264">
        <v>434</v>
      </c>
      <c r="E359" s="264">
        <v>353.4</v>
      </c>
      <c r="F359" s="264" t="s">
        <v>26</v>
      </c>
      <c r="G359" s="264">
        <v>360</v>
      </c>
      <c r="H359" s="264">
        <f>E359-G359</f>
        <v>-6.6000000000000227</v>
      </c>
      <c r="I359" s="321">
        <v>360</v>
      </c>
      <c r="J359" s="243">
        <v>360</v>
      </c>
      <c r="K359" s="264">
        <v>5.35</v>
      </c>
      <c r="L359" s="264">
        <f>I359/J359*100</f>
        <v>100</v>
      </c>
      <c r="M359" s="264">
        <v>12</v>
      </c>
      <c r="N359" s="264">
        <v>4</v>
      </c>
      <c r="O359" s="249">
        <v>80000</v>
      </c>
      <c r="P359" s="249">
        <f>O359*I359</f>
        <v>28800000</v>
      </c>
      <c r="Q359" s="249">
        <f>P359*3</f>
        <v>86400000</v>
      </c>
      <c r="R359" s="249">
        <f>M359*N359*R7</f>
        <v>24480000</v>
      </c>
      <c r="S359" s="249">
        <f>SUM(P359:R373)</f>
        <v>139680000</v>
      </c>
      <c r="T359" s="59" t="s">
        <v>666</v>
      </c>
      <c r="U359" s="44">
        <v>20</v>
      </c>
      <c r="V359" s="44">
        <f>I359/U359</f>
        <v>18</v>
      </c>
      <c r="W359" s="163" t="s">
        <v>2</v>
      </c>
      <c r="X359" s="179">
        <v>13</v>
      </c>
      <c r="Y359" s="45"/>
      <c r="Z359" s="77"/>
      <c r="AA359" s="65"/>
      <c r="AB359" s="161">
        <f t="shared" si="28"/>
        <v>0</v>
      </c>
      <c r="AC359" s="249">
        <f>SUM(AB359:AB373)</f>
        <v>53950000</v>
      </c>
      <c r="AD359" s="285">
        <f>S359+AC359</f>
        <v>193630000</v>
      </c>
      <c r="AE359" s="293" t="s">
        <v>670</v>
      </c>
      <c r="AF359" s="291" t="s">
        <v>667</v>
      </c>
      <c r="AG359" s="192"/>
      <c r="AH359" s="292" t="s">
        <v>668</v>
      </c>
      <c r="AI359" s="193"/>
    </row>
    <row r="360" spans="1:35" s="194" customFormat="1" ht="24.75" customHeight="1">
      <c r="A360" s="269"/>
      <c r="B360" s="264"/>
      <c r="C360" s="264"/>
      <c r="D360" s="264"/>
      <c r="E360" s="264"/>
      <c r="F360" s="264"/>
      <c r="G360" s="264"/>
      <c r="H360" s="264"/>
      <c r="I360" s="321"/>
      <c r="J360" s="243"/>
      <c r="K360" s="264"/>
      <c r="L360" s="264"/>
      <c r="M360" s="264"/>
      <c r="N360" s="264"/>
      <c r="O360" s="249"/>
      <c r="P360" s="249"/>
      <c r="Q360" s="249"/>
      <c r="R360" s="249"/>
      <c r="S360" s="249"/>
      <c r="T360" s="57" t="s">
        <v>399</v>
      </c>
      <c r="U360" s="44"/>
      <c r="V360" s="44"/>
      <c r="W360" s="163" t="s">
        <v>2</v>
      </c>
      <c r="X360" s="179">
        <v>13</v>
      </c>
      <c r="Y360" s="45">
        <v>2500000</v>
      </c>
      <c r="Z360" s="77"/>
      <c r="AA360" s="65">
        <v>1</v>
      </c>
      <c r="AB360" s="161">
        <f t="shared" si="28"/>
        <v>32500000</v>
      </c>
      <c r="AC360" s="249"/>
      <c r="AD360" s="285"/>
      <c r="AE360" s="294"/>
      <c r="AF360" s="291"/>
      <c r="AG360" s="192"/>
      <c r="AH360" s="292"/>
      <c r="AI360" s="193"/>
    </row>
    <row r="361" spans="1:35" s="194" customFormat="1" ht="42.75" customHeight="1">
      <c r="A361" s="269"/>
      <c r="B361" s="264"/>
      <c r="C361" s="264"/>
      <c r="D361" s="264"/>
      <c r="E361" s="264"/>
      <c r="F361" s="264"/>
      <c r="G361" s="264"/>
      <c r="H361" s="264"/>
      <c r="I361" s="321"/>
      <c r="J361" s="243"/>
      <c r="K361" s="264"/>
      <c r="L361" s="264"/>
      <c r="M361" s="264"/>
      <c r="N361" s="264"/>
      <c r="O361" s="249"/>
      <c r="P361" s="249"/>
      <c r="Q361" s="249"/>
      <c r="R361" s="249"/>
      <c r="S361" s="249"/>
      <c r="T361" s="59" t="s">
        <v>669</v>
      </c>
      <c r="U361" s="44"/>
      <c r="V361" s="44"/>
      <c r="W361" s="163" t="s">
        <v>2</v>
      </c>
      <c r="X361" s="179">
        <v>2</v>
      </c>
      <c r="Y361" s="45"/>
      <c r="Z361" s="77"/>
      <c r="AA361" s="65"/>
      <c r="AB361" s="161">
        <f t="shared" si="28"/>
        <v>0</v>
      </c>
      <c r="AC361" s="249"/>
      <c r="AD361" s="285"/>
      <c r="AE361" s="294"/>
      <c r="AF361" s="291"/>
      <c r="AG361" s="192"/>
      <c r="AH361" s="292"/>
      <c r="AI361" s="193"/>
    </row>
    <row r="362" spans="1:35" s="194" customFormat="1" ht="25.5" customHeight="1">
      <c r="A362" s="269"/>
      <c r="B362" s="264"/>
      <c r="C362" s="264"/>
      <c r="D362" s="264"/>
      <c r="E362" s="264"/>
      <c r="F362" s="264"/>
      <c r="G362" s="264"/>
      <c r="H362" s="264"/>
      <c r="I362" s="321"/>
      <c r="J362" s="243"/>
      <c r="K362" s="264"/>
      <c r="L362" s="264"/>
      <c r="M362" s="264"/>
      <c r="N362" s="264"/>
      <c r="O362" s="249"/>
      <c r="P362" s="249"/>
      <c r="Q362" s="249"/>
      <c r="R362" s="249"/>
      <c r="S362" s="249"/>
      <c r="T362" s="57" t="s">
        <v>399</v>
      </c>
      <c r="U362" s="44"/>
      <c r="V362" s="44"/>
      <c r="W362" s="163" t="s">
        <v>2</v>
      </c>
      <c r="X362" s="179">
        <v>2</v>
      </c>
      <c r="Y362" s="45">
        <v>1800000</v>
      </c>
      <c r="Z362" s="77"/>
      <c r="AA362" s="65">
        <v>1</v>
      </c>
      <c r="AB362" s="161">
        <f t="shared" si="28"/>
        <v>3600000</v>
      </c>
      <c r="AC362" s="249"/>
      <c r="AD362" s="285"/>
      <c r="AE362" s="294"/>
      <c r="AF362" s="195"/>
      <c r="AG362" s="192"/>
      <c r="AH362" s="292"/>
      <c r="AI362" s="193"/>
    </row>
    <row r="363" spans="1:35" s="194" customFormat="1" ht="41.25" customHeight="1">
      <c r="A363" s="269"/>
      <c r="B363" s="264"/>
      <c r="C363" s="264"/>
      <c r="D363" s="264"/>
      <c r="E363" s="264"/>
      <c r="F363" s="264"/>
      <c r="G363" s="264"/>
      <c r="H363" s="264"/>
      <c r="I363" s="321"/>
      <c r="J363" s="243"/>
      <c r="K363" s="264"/>
      <c r="L363" s="264"/>
      <c r="M363" s="264"/>
      <c r="N363" s="264"/>
      <c r="O363" s="249"/>
      <c r="P363" s="249"/>
      <c r="Q363" s="249"/>
      <c r="R363" s="249"/>
      <c r="S363" s="249"/>
      <c r="T363" s="59" t="s">
        <v>659</v>
      </c>
      <c r="U363" s="44">
        <v>25</v>
      </c>
      <c r="V363" s="44">
        <f>I359/U363</f>
        <v>14.4</v>
      </c>
      <c r="W363" s="163" t="s">
        <v>2</v>
      </c>
      <c r="X363" s="179">
        <v>3</v>
      </c>
      <c r="Y363" s="45"/>
      <c r="Z363" s="77"/>
      <c r="AA363" s="65"/>
      <c r="AB363" s="161">
        <f t="shared" si="28"/>
        <v>0</v>
      </c>
      <c r="AC363" s="249"/>
      <c r="AD363" s="285"/>
      <c r="AE363" s="294"/>
      <c r="AF363" s="196"/>
      <c r="AG363" s="192"/>
      <c r="AH363" s="292"/>
      <c r="AI363" s="193"/>
    </row>
    <row r="364" spans="1:35" s="194" customFormat="1" ht="22.5" customHeight="1">
      <c r="A364" s="269"/>
      <c r="B364" s="264"/>
      <c r="C364" s="264"/>
      <c r="D364" s="264"/>
      <c r="E364" s="264"/>
      <c r="F364" s="264"/>
      <c r="G364" s="264"/>
      <c r="H364" s="264"/>
      <c r="I364" s="321"/>
      <c r="J364" s="243"/>
      <c r="K364" s="264"/>
      <c r="L364" s="264"/>
      <c r="M364" s="264"/>
      <c r="N364" s="264"/>
      <c r="O364" s="249"/>
      <c r="P364" s="249"/>
      <c r="Q364" s="249"/>
      <c r="R364" s="249"/>
      <c r="S364" s="249"/>
      <c r="T364" s="57" t="s">
        <v>399</v>
      </c>
      <c r="U364" s="44"/>
      <c r="V364" s="44"/>
      <c r="W364" s="163" t="s">
        <v>2</v>
      </c>
      <c r="X364" s="179">
        <v>3</v>
      </c>
      <c r="Y364" s="45">
        <v>4500000</v>
      </c>
      <c r="Z364" s="77"/>
      <c r="AA364" s="65">
        <v>0.5</v>
      </c>
      <c r="AB364" s="161">
        <f t="shared" si="28"/>
        <v>6750000</v>
      </c>
      <c r="AC364" s="249"/>
      <c r="AD364" s="285"/>
      <c r="AE364" s="294"/>
      <c r="AF364" s="197"/>
      <c r="AG364" s="192"/>
      <c r="AH364" s="292"/>
      <c r="AI364" s="193"/>
    </row>
    <row r="365" spans="1:35" s="194" customFormat="1" ht="45" customHeight="1">
      <c r="A365" s="269"/>
      <c r="B365" s="264"/>
      <c r="C365" s="264"/>
      <c r="D365" s="264"/>
      <c r="E365" s="264"/>
      <c r="F365" s="264"/>
      <c r="G365" s="264"/>
      <c r="H365" s="264"/>
      <c r="I365" s="321"/>
      <c r="J365" s="243"/>
      <c r="K365" s="264"/>
      <c r="L365" s="264"/>
      <c r="M365" s="264"/>
      <c r="N365" s="264"/>
      <c r="O365" s="249"/>
      <c r="P365" s="249"/>
      <c r="Q365" s="249"/>
      <c r="R365" s="249"/>
      <c r="S365" s="249"/>
      <c r="T365" s="59" t="s">
        <v>660</v>
      </c>
      <c r="U365" s="44"/>
      <c r="V365" s="44"/>
      <c r="W365" s="163" t="s">
        <v>2</v>
      </c>
      <c r="X365" s="179">
        <v>2</v>
      </c>
      <c r="Y365" s="45"/>
      <c r="Z365" s="77"/>
      <c r="AA365" s="65"/>
      <c r="AB365" s="161">
        <f t="shared" si="28"/>
        <v>0</v>
      </c>
      <c r="AC365" s="249"/>
      <c r="AD365" s="285"/>
      <c r="AE365" s="294"/>
      <c r="AF365" s="197"/>
      <c r="AG365" s="192"/>
      <c r="AH365" s="292"/>
      <c r="AI365" s="193"/>
    </row>
    <row r="366" spans="1:35" s="194" customFormat="1" ht="26.25" customHeight="1">
      <c r="A366" s="269"/>
      <c r="B366" s="264"/>
      <c r="C366" s="264"/>
      <c r="D366" s="264"/>
      <c r="E366" s="264"/>
      <c r="F366" s="264"/>
      <c r="G366" s="264"/>
      <c r="H366" s="264"/>
      <c r="I366" s="321"/>
      <c r="J366" s="243"/>
      <c r="K366" s="264"/>
      <c r="L366" s="264"/>
      <c r="M366" s="264"/>
      <c r="N366" s="264"/>
      <c r="O366" s="249"/>
      <c r="P366" s="249"/>
      <c r="Q366" s="249"/>
      <c r="R366" s="249"/>
      <c r="S366" s="249"/>
      <c r="T366" s="57" t="s">
        <v>399</v>
      </c>
      <c r="U366" s="44"/>
      <c r="V366" s="44"/>
      <c r="W366" s="163" t="s">
        <v>2</v>
      </c>
      <c r="X366" s="179">
        <v>2</v>
      </c>
      <c r="Y366" s="45">
        <v>3850000</v>
      </c>
      <c r="Z366" s="77"/>
      <c r="AA366" s="65">
        <v>0.5</v>
      </c>
      <c r="AB366" s="161">
        <f t="shared" si="28"/>
        <v>3850000</v>
      </c>
      <c r="AC366" s="249"/>
      <c r="AD366" s="285"/>
      <c r="AE366" s="294"/>
      <c r="AF366" s="197"/>
      <c r="AG366" s="192"/>
      <c r="AH366" s="292"/>
      <c r="AI366" s="193"/>
    </row>
    <row r="367" spans="1:35" s="194" customFormat="1" ht="39" customHeight="1">
      <c r="A367" s="269"/>
      <c r="B367" s="264"/>
      <c r="C367" s="264"/>
      <c r="D367" s="264"/>
      <c r="E367" s="264"/>
      <c r="F367" s="264"/>
      <c r="G367" s="264"/>
      <c r="H367" s="264"/>
      <c r="I367" s="321"/>
      <c r="J367" s="243"/>
      <c r="K367" s="264"/>
      <c r="L367" s="264"/>
      <c r="M367" s="264"/>
      <c r="N367" s="264"/>
      <c r="O367" s="249"/>
      <c r="P367" s="249"/>
      <c r="Q367" s="249"/>
      <c r="R367" s="249"/>
      <c r="S367" s="249"/>
      <c r="T367" s="59" t="s">
        <v>661</v>
      </c>
      <c r="U367" s="44">
        <v>25</v>
      </c>
      <c r="V367" s="44">
        <f>I359/U367</f>
        <v>14.4</v>
      </c>
      <c r="W367" s="163" t="s">
        <v>2</v>
      </c>
      <c r="X367" s="161">
        <v>5</v>
      </c>
      <c r="Y367" s="45"/>
      <c r="Z367" s="73"/>
      <c r="AA367" s="65"/>
      <c r="AB367" s="161">
        <f t="shared" si="28"/>
        <v>0</v>
      </c>
      <c r="AC367" s="249"/>
      <c r="AD367" s="285"/>
      <c r="AE367" s="294"/>
      <c r="AF367" s="197"/>
      <c r="AG367" s="198" t="s">
        <v>662</v>
      </c>
      <c r="AH367" s="292"/>
      <c r="AI367" s="193"/>
    </row>
    <row r="368" spans="1:35" s="194" customFormat="1" ht="22.5" customHeight="1">
      <c r="A368" s="269"/>
      <c r="B368" s="264"/>
      <c r="C368" s="264"/>
      <c r="D368" s="264"/>
      <c r="E368" s="264"/>
      <c r="F368" s="264"/>
      <c r="G368" s="264"/>
      <c r="H368" s="264"/>
      <c r="I368" s="321"/>
      <c r="J368" s="243"/>
      <c r="K368" s="264"/>
      <c r="L368" s="264"/>
      <c r="M368" s="264"/>
      <c r="N368" s="264"/>
      <c r="O368" s="249"/>
      <c r="P368" s="249"/>
      <c r="Q368" s="249"/>
      <c r="R368" s="249"/>
      <c r="S368" s="249"/>
      <c r="T368" s="57" t="s">
        <v>399</v>
      </c>
      <c r="U368" s="44"/>
      <c r="V368" s="44"/>
      <c r="W368" s="163" t="s">
        <v>2</v>
      </c>
      <c r="X368" s="161">
        <v>5</v>
      </c>
      <c r="Y368" s="45">
        <v>1000000</v>
      </c>
      <c r="Z368" s="73"/>
      <c r="AA368" s="65">
        <v>0.5</v>
      </c>
      <c r="AB368" s="161">
        <f t="shared" si="28"/>
        <v>2500000</v>
      </c>
      <c r="AC368" s="249"/>
      <c r="AD368" s="285"/>
      <c r="AE368" s="294"/>
      <c r="AF368" s="197"/>
      <c r="AG368" s="198"/>
      <c r="AH368" s="292"/>
      <c r="AI368" s="193"/>
    </row>
    <row r="369" spans="1:35" s="194" customFormat="1" ht="45.75" customHeight="1">
      <c r="A369" s="269"/>
      <c r="B369" s="264"/>
      <c r="C369" s="264"/>
      <c r="D369" s="264"/>
      <c r="E369" s="264"/>
      <c r="F369" s="264"/>
      <c r="G369" s="264"/>
      <c r="H369" s="264"/>
      <c r="I369" s="321"/>
      <c r="J369" s="243"/>
      <c r="K369" s="264"/>
      <c r="L369" s="264"/>
      <c r="M369" s="264"/>
      <c r="N369" s="264"/>
      <c r="O369" s="249"/>
      <c r="P369" s="249"/>
      <c r="Q369" s="249"/>
      <c r="R369" s="249"/>
      <c r="S369" s="249"/>
      <c r="T369" s="59" t="s">
        <v>663</v>
      </c>
      <c r="U369" s="44">
        <v>25</v>
      </c>
      <c r="V369" s="44">
        <f>I359/U369</f>
        <v>14.4</v>
      </c>
      <c r="W369" s="163" t="s">
        <v>2</v>
      </c>
      <c r="X369" s="161">
        <v>4</v>
      </c>
      <c r="Y369" s="45"/>
      <c r="Z369" s="73"/>
      <c r="AA369" s="65"/>
      <c r="AB369" s="161">
        <f>X369*Y369*AA369</f>
        <v>0</v>
      </c>
      <c r="AC369" s="249"/>
      <c r="AD369" s="285"/>
      <c r="AE369" s="294"/>
      <c r="AF369" s="197"/>
      <c r="AG369" s="192"/>
      <c r="AH369" s="292"/>
      <c r="AI369" s="193"/>
    </row>
    <row r="370" spans="1:35" s="194" customFormat="1" ht="32.25" customHeight="1">
      <c r="A370" s="269"/>
      <c r="B370" s="264"/>
      <c r="C370" s="264"/>
      <c r="D370" s="264"/>
      <c r="E370" s="264"/>
      <c r="F370" s="264"/>
      <c r="G370" s="264"/>
      <c r="H370" s="264"/>
      <c r="I370" s="321"/>
      <c r="J370" s="243"/>
      <c r="K370" s="264"/>
      <c r="L370" s="264"/>
      <c r="M370" s="264"/>
      <c r="N370" s="264"/>
      <c r="O370" s="249"/>
      <c r="P370" s="249"/>
      <c r="Q370" s="249"/>
      <c r="R370" s="249"/>
      <c r="S370" s="249"/>
      <c r="T370" s="57" t="s">
        <v>399</v>
      </c>
      <c r="U370" s="44"/>
      <c r="V370" s="44"/>
      <c r="W370" s="163" t="s">
        <v>2</v>
      </c>
      <c r="X370" s="161">
        <v>4</v>
      </c>
      <c r="Y370" s="45">
        <v>500000</v>
      </c>
      <c r="Z370" s="73"/>
      <c r="AA370" s="65">
        <v>0.5</v>
      </c>
      <c r="AB370" s="161">
        <f>X370*Y370*AA370</f>
        <v>1000000</v>
      </c>
      <c r="AC370" s="249"/>
      <c r="AD370" s="285"/>
      <c r="AE370" s="294"/>
      <c r="AF370" s="197"/>
      <c r="AG370" s="192"/>
      <c r="AH370" s="292"/>
      <c r="AI370" s="193"/>
    </row>
    <row r="371" spans="1:35" s="194" customFormat="1" ht="32.25" customHeight="1">
      <c r="A371" s="269"/>
      <c r="B371" s="264"/>
      <c r="C371" s="264"/>
      <c r="D371" s="264"/>
      <c r="E371" s="264"/>
      <c r="F371" s="264"/>
      <c r="G371" s="264"/>
      <c r="H371" s="264"/>
      <c r="I371" s="321"/>
      <c r="J371" s="243"/>
      <c r="K371" s="264"/>
      <c r="L371" s="264"/>
      <c r="M371" s="264"/>
      <c r="N371" s="264"/>
      <c r="O371" s="249"/>
      <c r="P371" s="249"/>
      <c r="Q371" s="249"/>
      <c r="R371" s="249"/>
      <c r="S371" s="249"/>
      <c r="T371" s="165" t="s">
        <v>681</v>
      </c>
      <c r="U371" s="163"/>
      <c r="V371" s="163"/>
      <c r="W371" s="163" t="s">
        <v>0</v>
      </c>
      <c r="X371" s="168">
        <v>300</v>
      </c>
      <c r="Y371" s="45">
        <v>12500</v>
      </c>
      <c r="Z371" s="73"/>
      <c r="AA371" s="65">
        <v>1</v>
      </c>
      <c r="AB371" s="161">
        <f>X371*Y371*AA371</f>
        <v>3750000</v>
      </c>
      <c r="AC371" s="249"/>
      <c r="AD371" s="285"/>
      <c r="AE371" s="294"/>
      <c r="AF371" s="197"/>
      <c r="AG371" s="192"/>
      <c r="AH371" s="292"/>
      <c r="AI371" s="193"/>
    </row>
    <row r="372" spans="1:35" s="194" customFormat="1" ht="32.25" customHeight="1">
      <c r="A372" s="269"/>
      <c r="B372" s="264"/>
      <c r="C372" s="264"/>
      <c r="D372" s="264"/>
      <c r="E372" s="264"/>
      <c r="F372" s="264"/>
      <c r="G372" s="264"/>
      <c r="H372" s="264"/>
      <c r="I372" s="321"/>
      <c r="J372" s="243"/>
      <c r="K372" s="264"/>
      <c r="L372" s="264"/>
      <c r="M372" s="264"/>
      <c r="N372" s="264"/>
      <c r="O372" s="249"/>
      <c r="P372" s="249"/>
      <c r="Q372" s="249"/>
      <c r="R372" s="249"/>
      <c r="S372" s="249"/>
      <c r="T372" s="165" t="s">
        <v>405</v>
      </c>
      <c r="U372" s="163"/>
      <c r="V372" s="163"/>
      <c r="W372" s="163" t="s">
        <v>395</v>
      </c>
      <c r="X372" s="168">
        <v>1</v>
      </c>
      <c r="Y372" s="45"/>
      <c r="Z372" s="73"/>
      <c r="AA372" s="163">
        <v>0</v>
      </c>
      <c r="AB372" s="161">
        <f t="shared" ref="AB372:AB373" si="29">X372*Y372*AA372/100</f>
        <v>0</v>
      </c>
      <c r="AC372" s="249"/>
      <c r="AD372" s="285"/>
      <c r="AE372" s="294"/>
      <c r="AF372" s="197"/>
      <c r="AG372" s="192"/>
      <c r="AH372" s="292"/>
      <c r="AI372" s="193"/>
    </row>
    <row r="373" spans="1:35" s="194" customFormat="1" ht="32.25" customHeight="1">
      <c r="A373" s="269"/>
      <c r="B373" s="264"/>
      <c r="C373" s="264"/>
      <c r="D373" s="264"/>
      <c r="E373" s="264"/>
      <c r="F373" s="264"/>
      <c r="G373" s="264"/>
      <c r="H373" s="264"/>
      <c r="I373" s="321"/>
      <c r="J373" s="243"/>
      <c r="K373" s="264"/>
      <c r="L373" s="264"/>
      <c r="M373" s="264"/>
      <c r="N373" s="264"/>
      <c r="O373" s="249"/>
      <c r="P373" s="249"/>
      <c r="Q373" s="249"/>
      <c r="R373" s="249"/>
      <c r="S373" s="249"/>
      <c r="T373" s="165" t="s">
        <v>664</v>
      </c>
      <c r="U373" s="163"/>
      <c r="V373" s="163"/>
      <c r="W373" s="35" t="s">
        <v>7</v>
      </c>
      <c r="X373" s="168">
        <v>0.2</v>
      </c>
      <c r="Y373" s="161"/>
      <c r="Z373" s="73"/>
      <c r="AA373" s="163">
        <v>0</v>
      </c>
      <c r="AB373" s="161">
        <f t="shared" si="29"/>
        <v>0</v>
      </c>
      <c r="AC373" s="249"/>
      <c r="AD373" s="285"/>
      <c r="AE373" s="295"/>
      <c r="AF373" s="199"/>
      <c r="AG373" s="192"/>
      <c r="AH373" s="292"/>
      <c r="AI373" s="193"/>
    </row>
    <row r="374" spans="1:35" s="191" customFormat="1" ht="27" customHeight="1">
      <c r="A374" s="184"/>
      <c r="B374" s="185" t="s">
        <v>435</v>
      </c>
      <c r="C374" s="186"/>
      <c r="D374" s="186"/>
      <c r="E374" s="186"/>
      <c r="F374" s="186"/>
      <c r="G374" s="184"/>
      <c r="H374" s="187"/>
      <c r="I374" s="316"/>
      <c r="J374" s="160"/>
      <c r="K374" s="184"/>
      <c r="L374" s="188"/>
      <c r="M374" s="178"/>
      <c r="N374" s="178"/>
      <c r="O374" s="178"/>
      <c r="P374" s="178"/>
      <c r="Q374" s="178"/>
      <c r="R374" s="178"/>
      <c r="S374" s="178"/>
      <c r="T374" s="30"/>
      <c r="U374" s="187"/>
      <c r="V374" s="187"/>
      <c r="W374" s="184"/>
      <c r="X374" s="178"/>
      <c r="Y374" s="178"/>
      <c r="Z374" s="189"/>
      <c r="AA374" s="164"/>
      <c r="AB374" s="169"/>
      <c r="AC374" s="178"/>
      <c r="AD374" s="178"/>
      <c r="AE374" s="190"/>
    </row>
    <row r="375" spans="1:35" s="74" customFormat="1" ht="33.75" customHeight="1">
      <c r="A375" s="269">
        <v>34</v>
      </c>
      <c r="B375" s="266" t="s">
        <v>474</v>
      </c>
      <c r="C375" s="264">
        <v>64</v>
      </c>
      <c r="D375" s="264">
        <v>578</v>
      </c>
      <c r="E375" s="264">
        <v>755.6</v>
      </c>
      <c r="F375" s="269" t="s">
        <v>26</v>
      </c>
      <c r="G375" s="263">
        <v>792</v>
      </c>
      <c r="H375" s="263"/>
      <c r="I375" s="320">
        <f>E375+G385</f>
        <v>1163.5999999999999</v>
      </c>
      <c r="J375" s="249">
        <v>1872</v>
      </c>
      <c r="K375" s="249"/>
      <c r="L375" s="263">
        <f>I375/J375*100</f>
        <v>62.158119658119645</v>
      </c>
      <c r="M375" s="249">
        <v>6</v>
      </c>
      <c r="N375" s="249">
        <v>4</v>
      </c>
      <c r="O375" s="249">
        <v>80000</v>
      </c>
      <c r="P375" s="249">
        <f>O375*I375</f>
        <v>93088000</v>
      </c>
      <c r="Q375" s="249">
        <f>P375*3</f>
        <v>279264000</v>
      </c>
      <c r="R375" s="249">
        <f>M375*N375*R7</f>
        <v>12240000</v>
      </c>
      <c r="S375" s="249">
        <f>SUM(P375:R389)</f>
        <v>384592000</v>
      </c>
      <c r="T375" s="43" t="s">
        <v>666</v>
      </c>
      <c r="U375" s="72">
        <v>20</v>
      </c>
      <c r="V375" s="72">
        <f>E375/U375</f>
        <v>37.78</v>
      </c>
      <c r="W375" s="163" t="s">
        <v>2</v>
      </c>
      <c r="X375" s="161">
        <v>56</v>
      </c>
      <c r="Y375" s="45"/>
      <c r="Z375" s="63"/>
      <c r="AA375" s="75"/>
      <c r="AB375" s="161">
        <f t="shared" ref="AB375:AB379" si="30">X375*Y375*AA375</f>
        <v>0</v>
      </c>
      <c r="AC375" s="249">
        <f>SUM(AB375:AB384)</f>
        <v>128250000</v>
      </c>
      <c r="AD375" s="252">
        <f>S375+AC375+AC385</f>
        <v>525142000</v>
      </c>
      <c r="AE375" s="26" t="s">
        <v>479</v>
      </c>
    </row>
    <row r="376" spans="1:35" s="74" customFormat="1" ht="22.5" customHeight="1">
      <c r="A376" s="269"/>
      <c r="B376" s="266"/>
      <c r="C376" s="264"/>
      <c r="D376" s="264"/>
      <c r="E376" s="264"/>
      <c r="F376" s="269"/>
      <c r="G376" s="263"/>
      <c r="H376" s="263"/>
      <c r="I376" s="320"/>
      <c r="J376" s="249"/>
      <c r="K376" s="249"/>
      <c r="L376" s="263"/>
      <c r="M376" s="249"/>
      <c r="N376" s="249"/>
      <c r="O376" s="249"/>
      <c r="P376" s="249"/>
      <c r="Q376" s="249"/>
      <c r="R376" s="249"/>
      <c r="S376" s="249"/>
      <c r="T376" s="57" t="s">
        <v>399</v>
      </c>
      <c r="U376" s="72"/>
      <c r="V376" s="72"/>
      <c r="W376" s="163" t="s">
        <v>2</v>
      </c>
      <c r="X376" s="161">
        <v>38</v>
      </c>
      <c r="Y376" s="45">
        <v>2500000</v>
      </c>
      <c r="Z376" s="63"/>
      <c r="AA376" s="75">
        <v>1</v>
      </c>
      <c r="AB376" s="161">
        <f>X376*Y376*AA376</f>
        <v>95000000</v>
      </c>
      <c r="AC376" s="249"/>
      <c r="AD376" s="252"/>
      <c r="AE376" s="26"/>
    </row>
    <row r="377" spans="1:35" s="74" customFormat="1" ht="22.5" customHeight="1">
      <c r="A377" s="269"/>
      <c r="B377" s="266"/>
      <c r="C377" s="264"/>
      <c r="D377" s="264"/>
      <c r="E377" s="264"/>
      <c r="F377" s="269"/>
      <c r="G377" s="263"/>
      <c r="H377" s="263"/>
      <c r="I377" s="320"/>
      <c r="J377" s="249"/>
      <c r="K377" s="249"/>
      <c r="L377" s="263"/>
      <c r="M377" s="249"/>
      <c r="N377" s="249"/>
      <c r="O377" s="249"/>
      <c r="P377" s="249"/>
      <c r="Q377" s="249"/>
      <c r="R377" s="249"/>
      <c r="S377" s="249"/>
      <c r="T377" s="57" t="s">
        <v>401</v>
      </c>
      <c r="U377" s="72"/>
      <c r="V377" s="72">
        <f>0.3*V375</f>
        <v>11.334</v>
      </c>
      <c r="W377" s="163" t="s">
        <v>2</v>
      </c>
      <c r="X377" s="161">
        <v>11</v>
      </c>
      <c r="Y377" s="45">
        <v>2500000</v>
      </c>
      <c r="Z377" s="63"/>
      <c r="AA377" s="75">
        <v>0.5</v>
      </c>
      <c r="AB377" s="161">
        <f t="shared" si="30"/>
        <v>13750000</v>
      </c>
      <c r="AC377" s="249"/>
      <c r="AD377" s="252"/>
      <c r="AE377" s="26"/>
    </row>
    <row r="378" spans="1:35" s="74" customFormat="1" ht="22.5" customHeight="1">
      <c r="A378" s="269"/>
      <c r="B378" s="266"/>
      <c r="C378" s="264"/>
      <c r="D378" s="264"/>
      <c r="E378" s="264"/>
      <c r="F378" s="269"/>
      <c r="G378" s="263"/>
      <c r="H378" s="263"/>
      <c r="I378" s="320"/>
      <c r="J378" s="249"/>
      <c r="K378" s="249"/>
      <c r="L378" s="263"/>
      <c r="M378" s="249"/>
      <c r="N378" s="249"/>
      <c r="O378" s="249"/>
      <c r="P378" s="249"/>
      <c r="Q378" s="249"/>
      <c r="R378" s="249"/>
      <c r="S378" s="249"/>
      <c r="T378" s="57" t="s">
        <v>402</v>
      </c>
      <c r="U378" s="72"/>
      <c r="V378" s="72"/>
      <c r="W378" s="163" t="s">
        <v>2</v>
      </c>
      <c r="X378" s="161">
        <v>7</v>
      </c>
      <c r="Y378" s="45">
        <v>2500000</v>
      </c>
      <c r="Z378" s="63"/>
      <c r="AA378" s="75">
        <v>0</v>
      </c>
      <c r="AB378" s="161">
        <f t="shared" si="30"/>
        <v>0</v>
      </c>
      <c r="AC378" s="249"/>
      <c r="AD378" s="252"/>
      <c r="AE378" s="26"/>
    </row>
    <row r="379" spans="1:35" s="74" customFormat="1" ht="22.5" customHeight="1">
      <c r="A379" s="269"/>
      <c r="B379" s="266"/>
      <c r="C379" s="264"/>
      <c r="D379" s="264"/>
      <c r="E379" s="264"/>
      <c r="F379" s="269"/>
      <c r="G379" s="263"/>
      <c r="H379" s="263"/>
      <c r="I379" s="320"/>
      <c r="J379" s="249"/>
      <c r="K379" s="249"/>
      <c r="L379" s="263"/>
      <c r="M379" s="249"/>
      <c r="N379" s="249"/>
      <c r="O379" s="249"/>
      <c r="P379" s="249"/>
      <c r="Q379" s="249"/>
      <c r="R379" s="249"/>
      <c r="S379" s="249"/>
      <c r="T379" s="165" t="s">
        <v>475</v>
      </c>
      <c r="U379" s="72"/>
      <c r="V379" s="72"/>
      <c r="W379" s="163" t="s">
        <v>0</v>
      </c>
      <c r="X379" s="168">
        <v>650</v>
      </c>
      <c r="Y379" s="45">
        <v>30000</v>
      </c>
      <c r="Z379" s="63"/>
      <c r="AA379" s="75">
        <v>1</v>
      </c>
      <c r="AB379" s="161">
        <f t="shared" si="30"/>
        <v>19500000</v>
      </c>
      <c r="AC379" s="249"/>
      <c r="AD379" s="252"/>
      <c r="AE379" s="26"/>
    </row>
    <row r="380" spans="1:35" s="74" customFormat="1" ht="33.75" customHeight="1">
      <c r="A380" s="269"/>
      <c r="B380" s="266"/>
      <c r="C380" s="264"/>
      <c r="D380" s="264"/>
      <c r="E380" s="264"/>
      <c r="F380" s="269"/>
      <c r="G380" s="263"/>
      <c r="H380" s="263"/>
      <c r="I380" s="320"/>
      <c r="J380" s="249"/>
      <c r="K380" s="249"/>
      <c r="L380" s="263"/>
      <c r="M380" s="249"/>
      <c r="N380" s="249"/>
      <c r="O380" s="249"/>
      <c r="P380" s="249"/>
      <c r="Q380" s="249"/>
      <c r="R380" s="249"/>
      <c r="S380" s="249"/>
      <c r="T380" s="165" t="s">
        <v>484</v>
      </c>
      <c r="U380" s="72"/>
      <c r="V380" s="72"/>
      <c r="W380" s="163" t="s">
        <v>396</v>
      </c>
      <c r="X380" s="161">
        <v>40</v>
      </c>
      <c r="Y380" s="45"/>
      <c r="Z380" s="63"/>
      <c r="AA380" s="75"/>
      <c r="AB380" s="161"/>
      <c r="AC380" s="249"/>
      <c r="AD380" s="252"/>
      <c r="AE380" s="26"/>
    </row>
    <row r="381" spans="1:35" s="74" customFormat="1" ht="22.5" customHeight="1">
      <c r="A381" s="269"/>
      <c r="B381" s="266"/>
      <c r="C381" s="264"/>
      <c r="D381" s="264"/>
      <c r="E381" s="264"/>
      <c r="F381" s="269"/>
      <c r="G381" s="263"/>
      <c r="H381" s="263"/>
      <c r="I381" s="320"/>
      <c r="J381" s="249"/>
      <c r="K381" s="249"/>
      <c r="L381" s="263"/>
      <c r="M381" s="249"/>
      <c r="N381" s="249"/>
      <c r="O381" s="249"/>
      <c r="P381" s="249"/>
      <c r="Q381" s="249"/>
      <c r="R381" s="249"/>
      <c r="S381" s="249"/>
      <c r="T381" s="84" t="s">
        <v>476</v>
      </c>
      <c r="U381" s="72"/>
      <c r="V381" s="72"/>
      <c r="W381" s="163" t="s">
        <v>441</v>
      </c>
      <c r="X381" s="168">
        <v>0.6</v>
      </c>
      <c r="Y381" s="45"/>
      <c r="Z381" s="63"/>
      <c r="AA381" s="75"/>
      <c r="AB381" s="161"/>
      <c r="AC381" s="249"/>
      <c r="AD381" s="252"/>
      <c r="AE381" s="26"/>
    </row>
    <row r="382" spans="1:35" s="74" customFormat="1" ht="22.5" customHeight="1">
      <c r="A382" s="269"/>
      <c r="B382" s="266"/>
      <c r="C382" s="264"/>
      <c r="D382" s="264"/>
      <c r="E382" s="264"/>
      <c r="F382" s="269"/>
      <c r="G382" s="263"/>
      <c r="H382" s="263"/>
      <c r="I382" s="320"/>
      <c r="J382" s="249"/>
      <c r="K382" s="249"/>
      <c r="L382" s="263"/>
      <c r="M382" s="249"/>
      <c r="N382" s="249"/>
      <c r="O382" s="249"/>
      <c r="P382" s="249"/>
      <c r="Q382" s="249"/>
      <c r="R382" s="249"/>
      <c r="S382" s="249"/>
      <c r="T382" s="84" t="s">
        <v>477</v>
      </c>
      <c r="U382" s="78"/>
      <c r="V382" s="78"/>
      <c r="W382" s="163" t="s">
        <v>0</v>
      </c>
      <c r="X382" s="161">
        <v>80</v>
      </c>
      <c r="Y382" s="45"/>
      <c r="Z382" s="63"/>
      <c r="AA382" s="75"/>
      <c r="AB382" s="161"/>
      <c r="AC382" s="249"/>
      <c r="AD382" s="252"/>
      <c r="AE382" s="26"/>
    </row>
    <row r="383" spans="1:35" s="74" customFormat="1" ht="51.75" customHeight="1">
      <c r="A383" s="269"/>
      <c r="B383" s="266"/>
      <c r="C383" s="264"/>
      <c r="D383" s="264"/>
      <c r="E383" s="264"/>
      <c r="F383" s="269"/>
      <c r="G383" s="263"/>
      <c r="H383" s="263"/>
      <c r="I383" s="320"/>
      <c r="J383" s="249"/>
      <c r="K383" s="249"/>
      <c r="L383" s="263"/>
      <c r="M383" s="249"/>
      <c r="N383" s="249"/>
      <c r="O383" s="249"/>
      <c r="P383" s="249"/>
      <c r="Q383" s="249"/>
      <c r="R383" s="249"/>
      <c r="S383" s="249"/>
      <c r="T383" s="47" t="s">
        <v>415</v>
      </c>
      <c r="U383" s="72"/>
      <c r="V383" s="72"/>
      <c r="W383" s="163" t="s">
        <v>6</v>
      </c>
      <c r="X383" s="168">
        <v>40</v>
      </c>
      <c r="Y383" s="45"/>
      <c r="Z383" s="63"/>
      <c r="AA383" s="75"/>
      <c r="AB383" s="161"/>
      <c r="AC383" s="249"/>
      <c r="AD383" s="252"/>
      <c r="AE383" s="26"/>
    </row>
    <row r="384" spans="1:35" s="74" customFormat="1" ht="27" customHeight="1">
      <c r="A384" s="269"/>
      <c r="B384" s="266"/>
      <c r="C384" s="264"/>
      <c r="D384" s="264"/>
      <c r="E384" s="264"/>
      <c r="F384" s="269"/>
      <c r="G384" s="263"/>
      <c r="H384" s="263"/>
      <c r="I384" s="320"/>
      <c r="J384" s="249"/>
      <c r="K384" s="249"/>
      <c r="L384" s="263"/>
      <c r="M384" s="249"/>
      <c r="N384" s="249"/>
      <c r="O384" s="249"/>
      <c r="P384" s="249"/>
      <c r="Q384" s="249"/>
      <c r="R384" s="249"/>
      <c r="S384" s="249"/>
      <c r="T384" s="165" t="s">
        <v>416</v>
      </c>
      <c r="U384" s="72"/>
      <c r="V384" s="72"/>
      <c r="W384" s="163" t="s">
        <v>395</v>
      </c>
      <c r="X384" s="168">
        <v>1</v>
      </c>
      <c r="Y384" s="45"/>
      <c r="Z384" s="63"/>
      <c r="AA384" s="75"/>
      <c r="AB384" s="161"/>
      <c r="AC384" s="249"/>
      <c r="AD384" s="252"/>
      <c r="AE384" s="26"/>
    </row>
    <row r="385" spans="1:38" s="74" customFormat="1" ht="33.75" customHeight="1">
      <c r="A385" s="269"/>
      <c r="B385" s="266"/>
      <c r="C385" s="269">
        <v>64</v>
      </c>
      <c r="D385" s="269">
        <v>587</v>
      </c>
      <c r="E385" s="269">
        <v>410.8</v>
      </c>
      <c r="F385" s="269" t="s">
        <v>26</v>
      </c>
      <c r="G385" s="250">
        <v>408</v>
      </c>
      <c r="H385" s="283">
        <f>E385-G385</f>
        <v>2.8000000000000114</v>
      </c>
      <c r="I385" s="320"/>
      <c r="J385" s="249"/>
      <c r="K385" s="249"/>
      <c r="L385" s="263"/>
      <c r="M385" s="249"/>
      <c r="N385" s="249"/>
      <c r="O385" s="249"/>
      <c r="P385" s="249"/>
      <c r="Q385" s="249"/>
      <c r="R385" s="249"/>
      <c r="S385" s="249"/>
      <c r="T385" s="43" t="s">
        <v>480</v>
      </c>
      <c r="U385" s="161">
        <v>10</v>
      </c>
      <c r="V385" s="72">
        <f>(G385-X388)/U385</f>
        <v>28.8</v>
      </c>
      <c r="W385" s="163" t="s">
        <v>2</v>
      </c>
      <c r="X385" s="161">
        <v>15</v>
      </c>
      <c r="Y385" s="45"/>
      <c r="Z385" s="63"/>
      <c r="AA385" s="75"/>
      <c r="AB385" s="161"/>
      <c r="AC385" s="249">
        <f>SUM(AB385:AB389)</f>
        <v>12300000</v>
      </c>
      <c r="AD385" s="252"/>
      <c r="AE385" s="26" t="s">
        <v>419</v>
      </c>
    </row>
    <row r="386" spans="1:38" s="74" customFormat="1" ht="22.5" customHeight="1">
      <c r="A386" s="269"/>
      <c r="B386" s="266"/>
      <c r="C386" s="269"/>
      <c r="D386" s="269"/>
      <c r="E386" s="269"/>
      <c r="F386" s="269"/>
      <c r="G386" s="250"/>
      <c r="H386" s="283"/>
      <c r="I386" s="320"/>
      <c r="J386" s="249"/>
      <c r="K386" s="249"/>
      <c r="L386" s="263"/>
      <c r="M386" s="249"/>
      <c r="N386" s="249"/>
      <c r="O386" s="249"/>
      <c r="P386" s="249"/>
      <c r="Q386" s="249"/>
      <c r="R386" s="249"/>
      <c r="S386" s="249"/>
      <c r="T386" s="57" t="s">
        <v>399</v>
      </c>
      <c r="U386" s="72"/>
      <c r="V386" s="72"/>
      <c r="W386" s="163" t="s">
        <v>2</v>
      </c>
      <c r="X386" s="161">
        <v>15</v>
      </c>
      <c r="Y386" s="45">
        <v>240000</v>
      </c>
      <c r="Z386" s="63"/>
      <c r="AA386" s="75">
        <v>1</v>
      </c>
      <c r="AB386" s="161">
        <f t="shared" ref="AB386:AB387" si="31">X386*Y386*AA386</f>
        <v>3600000</v>
      </c>
      <c r="AC386" s="249"/>
      <c r="AD386" s="252"/>
      <c r="AE386" s="26"/>
    </row>
    <row r="387" spans="1:38" s="74" customFormat="1" ht="22.5" customHeight="1">
      <c r="A387" s="269"/>
      <c r="B387" s="266"/>
      <c r="C387" s="269"/>
      <c r="D387" s="269"/>
      <c r="E387" s="269"/>
      <c r="F387" s="269"/>
      <c r="G387" s="250"/>
      <c r="H387" s="283"/>
      <c r="I387" s="320"/>
      <c r="J387" s="249"/>
      <c r="K387" s="249"/>
      <c r="L387" s="263"/>
      <c r="M387" s="249"/>
      <c r="N387" s="249"/>
      <c r="O387" s="249"/>
      <c r="P387" s="249"/>
      <c r="Q387" s="249"/>
      <c r="R387" s="249"/>
      <c r="S387" s="249"/>
      <c r="T387" s="165" t="s">
        <v>475</v>
      </c>
      <c r="U387" s="72"/>
      <c r="V387" s="72"/>
      <c r="W387" s="163" t="s">
        <v>0</v>
      </c>
      <c r="X387" s="168">
        <v>290</v>
      </c>
      <c r="Y387" s="45">
        <v>30000</v>
      </c>
      <c r="Z387" s="63"/>
      <c r="AA387" s="75">
        <v>1</v>
      </c>
      <c r="AB387" s="161">
        <f t="shared" si="31"/>
        <v>8700000</v>
      </c>
      <c r="AC387" s="249"/>
      <c r="AD387" s="252"/>
      <c r="AE387" s="26"/>
    </row>
    <row r="388" spans="1:38" s="74" customFormat="1" ht="22.5" customHeight="1">
      <c r="A388" s="269"/>
      <c r="B388" s="266"/>
      <c r="C388" s="269"/>
      <c r="D388" s="269"/>
      <c r="E388" s="269"/>
      <c r="F388" s="269"/>
      <c r="G388" s="250"/>
      <c r="H388" s="283"/>
      <c r="I388" s="320"/>
      <c r="J388" s="249"/>
      <c r="K388" s="249"/>
      <c r="L388" s="263"/>
      <c r="M388" s="249"/>
      <c r="N388" s="249"/>
      <c r="O388" s="249"/>
      <c r="P388" s="249"/>
      <c r="Q388" s="249"/>
      <c r="R388" s="249"/>
      <c r="S388" s="249"/>
      <c r="T388" s="57" t="s">
        <v>424</v>
      </c>
      <c r="U388" s="72"/>
      <c r="V388" s="72"/>
      <c r="W388" s="163" t="s">
        <v>0</v>
      </c>
      <c r="X388" s="161">
        <v>120</v>
      </c>
      <c r="Y388" s="45"/>
      <c r="Z388" s="63"/>
      <c r="AA388" s="75"/>
      <c r="AB388" s="161"/>
      <c r="AC388" s="249"/>
      <c r="AD388" s="252"/>
      <c r="AE388" s="26"/>
    </row>
    <row r="389" spans="1:38" s="74" customFormat="1" ht="60" customHeight="1">
      <c r="A389" s="269"/>
      <c r="B389" s="266"/>
      <c r="C389" s="269"/>
      <c r="D389" s="269"/>
      <c r="E389" s="269"/>
      <c r="F389" s="269"/>
      <c r="G389" s="250"/>
      <c r="H389" s="283"/>
      <c r="I389" s="320"/>
      <c r="J389" s="249"/>
      <c r="K389" s="249"/>
      <c r="L389" s="263"/>
      <c r="M389" s="249"/>
      <c r="N389" s="249"/>
      <c r="O389" s="249"/>
      <c r="P389" s="249"/>
      <c r="Q389" s="249"/>
      <c r="R389" s="249"/>
      <c r="S389" s="249"/>
      <c r="T389" s="165" t="s">
        <v>425</v>
      </c>
      <c r="U389" s="72"/>
      <c r="V389" s="72"/>
      <c r="W389" s="163" t="s">
        <v>0</v>
      </c>
      <c r="X389" s="168">
        <v>81</v>
      </c>
      <c r="Y389" s="45"/>
      <c r="Z389" s="63"/>
      <c r="AA389" s="75"/>
      <c r="AB389" s="161"/>
      <c r="AC389" s="249"/>
      <c r="AD389" s="252"/>
      <c r="AE389" s="26"/>
    </row>
    <row r="390" spans="1:38" s="74" customFormat="1" ht="36.75" customHeight="1">
      <c r="A390" s="269">
        <v>35</v>
      </c>
      <c r="B390" s="266" t="s">
        <v>648</v>
      </c>
      <c r="C390" s="264">
        <v>64</v>
      </c>
      <c r="D390" s="264">
        <v>576</v>
      </c>
      <c r="E390" s="264">
        <v>400.6</v>
      </c>
      <c r="F390" s="264" t="s">
        <v>26</v>
      </c>
      <c r="G390" s="249">
        <v>432</v>
      </c>
      <c r="H390" s="263"/>
      <c r="I390" s="320">
        <v>400.6</v>
      </c>
      <c r="J390" s="249">
        <v>432</v>
      </c>
      <c r="K390" s="264"/>
      <c r="L390" s="258">
        <f>I390/J390*100</f>
        <v>92.731481481481481</v>
      </c>
      <c r="M390" s="249">
        <v>12</v>
      </c>
      <c r="N390" s="249">
        <v>2</v>
      </c>
      <c r="O390" s="249">
        <v>80000</v>
      </c>
      <c r="P390" s="249">
        <f>O390*I390</f>
        <v>32048000</v>
      </c>
      <c r="Q390" s="249">
        <f>P390*3</f>
        <v>96144000</v>
      </c>
      <c r="R390" s="249">
        <f>M390*N390*R7</f>
        <v>12240000</v>
      </c>
      <c r="S390" s="249">
        <f>SUM(P390:R394)</f>
        <v>140432000</v>
      </c>
      <c r="T390" s="43" t="s">
        <v>410</v>
      </c>
      <c r="U390" s="72">
        <v>25</v>
      </c>
      <c r="V390" s="72">
        <f>E390/U390</f>
        <v>16.024000000000001</v>
      </c>
      <c r="W390" s="163" t="s">
        <v>2</v>
      </c>
      <c r="X390" s="161">
        <v>16</v>
      </c>
      <c r="Y390" s="45"/>
      <c r="Z390" s="63"/>
      <c r="AA390" s="75"/>
      <c r="AB390" s="161"/>
      <c r="AC390" s="249">
        <f>SUM(AB390:AB394)</f>
        <v>87000000</v>
      </c>
      <c r="AD390" s="252">
        <f>S390+AC390</f>
        <v>227432000</v>
      </c>
      <c r="AE390" s="26" t="s">
        <v>482</v>
      </c>
    </row>
    <row r="391" spans="1:38" s="74" customFormat="1" ht="24.75" customHeight="1">
      <c r="A391" s="269"/>
      <c r="B391" s="266"/>
      <c r="C391" s="264"/>
      <c r="D391" s="264"/>
      <c r="E391" s="264"/>
      <c r="F391" s="264"/>
      <c r="G391" s="249"/>
      <c r="H391" s="263"/>
      <c r="I391" s="320"/>
      <c r="J391" s="249"/>
      <c r="K391" s="264"/>
      <c r="L391" s="258"/>
      <c r="M391" s="249"/>
      <c r="N391" s="249"/>
      <c r="O391" s="249"/>
      <c r="P391" s="249"/>
      <c r="Q391" s="249"/>
      <c r="R391" s="249"/>
      <c r="S391" s="249"/>
      <c r="T391" s="57" t="s">
        <v>399</v>
      </c>
      <c r="U391" s="72"/>
      <c r="V391" s="72"/>
      <c r="W391" s="163" t="s">
        <v>2</v>
      </c>
      <c r="X391" s="161">
        <v>16</v>
      </c>
      <c r="Y391" s="45">
        <v>4500000</v>
      </c>
      <c r="Z391" s="63"/>
      <c r="AA391" s="75">
        <v>1</v>
      </c>
      <c r="AB391" s="161">
        <f t="shared" ref="AB391:AB393" si="32">X391*Y391*AA391</f>
        <v>72000000</v>
      </c>
      <c r="AC391" s="249"/>
      <c r="AD391" s="252"/>
      <c r="AE391" s="26"/>
    </row>
    <row r="392" spans="1:38" s="74" customFormat="1" ht="37.5" customHeight="1">
      <c r="A392" s="269"/>
      <c r="B392" s="266"/>
      <c r="C392" s="264"/>
      <c r="D392" s="264"/>
      <c r="E392" s="264"/>
      <c r="F392" s="264"/>
      <c r="G392" s="249"/>
      <c r="H392" s="263"/>
      <c r="I392" s="320"/>
      <c r="J392" s="249"/>
      <c r="K392" s="264"/>
      <c r="L392" s="258"/>
      <c r="M392" s="249"/>
      <c r="N392" s="249"/>
      <c r="O392" s="249"/>
      <c r="P392" s="249"/>
      <c r="Q392" s="249"/>
      <c r="R392" s="249"/>
      <c r="S392" s="249"/>
      <c r="T392" s="43" t="s">
        <v>483</v>
      </c>
      <c r="U392" s="72">
        <v>20</v>
      </c>
      <c r="V392" s="72">
        <f>E390/U392</f>
        <v>20.03</v>
      </c>
      <c r="W392" s="163" t="s">
        <v>2</v>
      </c>
      <c r="X392" s="161">
        <v>20</v>
      </c>
      <c r="Y392" s="45"/>
      <c r="Z392" s="63"/>
      <c r="AA392" s="75"/>
      <c r="AB392" s="161"/>
      <c r="AC392" s="249"/>
      <c r="AD392" s="252"/>
      <c r="AE392" s="26"/>
    </row>
    <row r="393" spans="1:38" s="74" customFormat="1" ht="23.25" customHeight="1">
      <c r="A393" s="269"/>
      <c r="B393" s="266"/>
      <c r="C393" s="264"/>
      <c r="D393" s="264"/>
      <c r="E393" s="264"/>
      <c r="F393" s="264"/>
      <c r="G393" s="249"/>
      <c r="H393" s="263"/>
      <c r="I393" s="320"/>
      <c r="J393" s="249"/>
      <c r="K393" s="264"/>
      <c r="L393" s="258"/>
      <c r="M393" s="249"/>
      <c r="N393" s="249"/>
      <c r="O393" s="249"/>
      <c r="P393" s="249"/>
      <c r="Q393" s="249"/>
      <c r="R393" s="249"/>
      <c r="S393" s="249"/>
      <c r="T393" s="57" t="s">
        <v>399</v>
      </c>
      <c r="U393" s="72"/>
      <c r="V393" s="72"/>
      <c r="W393" s="163" t="s">
        <v>2</v>
      </c>
      <c r="X393" s="161">
        <v>20</v>
      </c>
      <c r="Y393" s="45">
        <v>2500000</v>
      </c>
      <c r="Z393" s="63"/>
      <c r="AA393" s="75">
        <v>0.3</v>
      </c>
      <c r="AB393" s="161">
        <f t="shared" si="32"/>
        <v>15000000</v>
      </c>
      <c r="AC393" s="249"/>
      <c r="AD393" s="252"/>
      <c r="AE393" s="26"/>
    </row>
    <row r="394" spans="1:38" s="74" customFormat="1" ht="24" customHeight="1">
      <c r="A394" s="269"/>
      <c r="B394" s="266"/>
      <c r="C394" s="264"/>
      <c r="D394" s="264"/>
      <c r="E394" s="264"/>
      <c r="F394" s="264"/>
      <c r="G394" s="249"/>
      <c r="H394" s="263"/>
      <c r="I394" s="320"/>
      <c r="J394" s="249"/>
      <c r="K394" s="264"/>
      <c r="L394" s="258"/>
      <c r="M394" s="249"/>
      <c r="N394" s="249"/>
      <c r="O394" s="249"/>
      <c r="P394" s="249"/>
      <c r="Q394" s="249"/>
      <c r="R394" s="249"/>
      <c r="S394" s="249"/>
      <c r="T394" s="84" t="s">
        <v>421</v>
      </c>
      <c r="U394" s="72"/>
      <c r="V394" s="72"/>
      <c r="W394" s="163" t="s">
        <v>441</v>
      </c>
      <c r="X394" s="168">
        <v>0.6</v>
      </c>
      <c r="Y394" s="45"/>
      <c r="Z394" s="63"/>
      <c r="AA394" s="75"/>
      <c r="AB394" s="161"/>
      <c r="AC394" s="249"/>
      <c r="AD394" s="252"/>
      <c r="AE394" s="26"/>
    </row>
    <row r="395" spans="1:38" s="74" customFormat="1" ht="34.5" customHeight="1">
      <c r="A395" s="269">
        <v>36</v>
      </c>
      <c r="B395" s="266" t="s">
        <v>647</v>
      </c>
      <c r="C395" s="264">
        <v>64</v>
      </c>
      <c r="D395" s="264">
        <v>495</v>
      </c>
      <c r="E395" s="264">
        <v>328.7</v>
      </c>
      <c r="F395" s="264" t="s">
        <v>26</v>
      </c>
      <c r="G395" s="249">
        <v>324</v>
      </c>
      <c r="H395" s="263">
        <f>E395-G395</f>
        <v>4.6999999999999886</v>
      </c>
      <c r="I395" s="319">
        <v>324</v>
      </c>
      <c r="J395" s="250">
        <v>324</v>
      </c>
      <c r="K395" s="160"/>
      <c r="L395" s="290">
        <f>I395/J395*100</f>
        <v>100</v>
      </c>
      <c r="M395" s="250">
        <v>12</v>
      </c>
      <c r="N395" s="250">
        <v>3</v>
      </c>
      <c r="O395" s="250">
        <v>80000</v>
      </c>
      <c r="P395" s="250">
        <f>O395*I395</f>
        <v>25920000</v>
      </c>
      <c r="Q395" s="250">
        <f>P395*3</f>
        <v>77760000</v>
      </c>
      <c r="R395" s="250">
        <f>M395*N395*R7</f>
        <v>18360000</v>
      </c>
      <c r="S395" s="250">
        <f>SUM(P395:R400)</f>
        <v>122040000</v>
      </c>
      <c r="T395" s="43" t="s">
        <v>410</v>
      </c>
      <c r="U395" s="72">
        <v>25</v>
      </c>
      <c r="V395" s="72">
        <f>I395/U395</f>
        <v>12.96</v>
      </c>
      <c r="W395" s="163" t="s">
        <v>2</v>
      </c>
      <c r="X395" s="161">
        <v>6</v>
      </c>
      <c r="Y395" s="45"/>
      <c r="Z395" s="63"/>
      <c r="AA395" s="75"/>
      <c r="AB395" s="161"/>
      <c r="AC395" s="249">
        <f>SUM(AB395:AB400)</f>
        <v>59725000</v>
      </c>
      <c r="AD395" s="252">
        <f>S395+AC395</f>
        <v>181765000</v>
      </c>
      <c r="AE395" s="26"/>
    </row>
    <row r="396" spans="1:38" s="74" customFormat="1" ht="21" customHeight="1">
      <c r="A396" s="269"/>
      <c r="B396" s="266"/>
      <c r="C396" s="264"/>
      <c r="D396" s="264"/>
      <c r="E396" s="264"/>
      <c r="F396" s="264"/>
      <c r="G396" s="249"/>
      <c r="H396" s="263"/>
      <c r="I396" s="319"/>
      <c r="J396" s="250"/>
      <c r="K396" s="160"/>
      <c r="L396" s="290"/>
      <c r="M396" s="250"/>
      <c r="N396" s="250"/>
      <c r="O396" s="250"/>
      <c r="P396" s="250"/>
      <c r="Q396" s="250"/>
      <c r="R396" s="250"/>
      <c r="S396" s="250"/>
      <c r="T396" s="57" t="s">
        <v>399</v>
      </c>
      <c r="U396" s="72"/>
      <c r="V396" s="72"/>
      <c r="W396" s="163" t="s">
        <v>2</v>
      </c>
      <c r="X396" s="161">
        <v>6</v>
      </c>
      <c r="Y396" s="45">
        <v>4500000</v>
      </c>
      <c r="Z396" s="63"/>
      <c r="AA396" s="75">
        <v>1</v>
      </c>
      <c r="AB396" s="161">
        <f t="shared" ref="AB396" si="33">X396*Y396*AA396</f>
        <v>27000000</v>
      </c>
      <c r="AC396" s="249"/>
      <c r="AD396" s="252"/>
      <c r="AE396" s="26"/>
    </row>
    <row r="397" spans="1:38" s="74" customFormat="1" ht="32.25" customHeight="1">
      <c r="A397" s="269"/>
      <c r="B397" s="266"/>
      <c r="C397" s="264"/>
      <c r="D397" s="264"/>
      <c r="E397" s="264"/>
      <c r="F397" s="264"/>
      <c r="G397" s="249"/>
      <c r="H397" s="263"/>
      <c r="I397" s="319"/>
      <c r="J397" s="250"/>
      <c r="K397" s="160"/>
      <c r="L397" s="290"/>
      <c r="M397" s="250"/>
      <c r="N397" s="250"/>
      <c r="O397" s="250"/>
      <c r="P397" s="250"/>
      <c r="Q397" s="250"/>
      <c r="R397" s="250"/>
      <c r="S397" s="250"/>
      <c r="T397" s="43" t="s">
        <v>409</v>
      </c>
      <c r="U397" s="72"/>
      <c r="V397" s="72"/>
      <c r="W397" s="163" t="s">
        <v>2</v>
      </c>
      <c r="X397" s="161">
        <v>10</v>
      </c>
      <c r="Y397" s="45"/>
      <c r="Z397" s="77"/>
      <c r="AA397" s="65"/>
      <c r="AB397" s="161"/>
      <c r="AC397" s="249"/>
      <c r="AD397" s="252"/>
      <c r="AE397" s="26"/>
      <c r="AL397" s="74" t="s">
        <v>684</v>
      </c>
    </row>
    <row r="398" spans="1:38" s="74" customFormat="1" ht="21.75" customHeight="1">
      <c r="A398" s="269"/>
      <c r="B398" s="266"/>
      <c r="C398" s="264"/>
      <c r="D398" s="264"/>
      <c r="E398" s="264"/>
      <c r="F398" s="264"/>
      <c r="G398" s="249"/>
      <c r="H398" s="263"/>
      <c r="I398" s="319"/>
      <c r="J398" s="250"/>
      <c r="K398" s="160"/>
      <c r="L398" s="290"/>
      <c r="M398" s="250"/>
      <c r="N398" s="250"/>
      <c r="O398" s="250"/>
      <c r="P398" s="250"/>
      <c r="Q398" s="250"/>
      <c r="R398" s="250"/>
      <c r="S398" s="250"/>
      <c r="T398" s="57" t="s">
        <v>399</v>
      </c>
      <c r="U398" s="72"/>
      <c r="V398" s="72"/>
      <c r="W398" s="163" t="s">
        <v>2</v>
      </c>
      <c r="X398" s="161">
        <v>7</v>
      </c>
      <c r="Y398" s="45">
        <v>3850000</v>
      </c>
      <c r="Z398" s="77"/>
      <c r="AA398" s="65">
        <v>1</v>
      </c>
      <c r="AB398" s="161">
        <f>X398*Y398*AA398</f>
        <v>26950000</v>
      </c>
      <c r="AC398" s="249"/>
      <c r="AD398" s="252"/>
      <c r="AE398" s="26"/>
    </row>
    <row r="399" spans="1:38" s="74" customFormat="1" ht="21.75" customHeight="1">
      <c r="A399" s="269"/>
      <c r="B399" s="266"/>
      <c r="C399" s="264"/>
      <c r="D399" s="264"/>
      <c r="E399" s="264"/>
      <c r="F399" s="264"/>
      <c r="G399" s="249"/>
      <c r="H399" s="263"/>
      <c r="I399" s="319"/>
      <c r="J399" s="250"/>
      <c r="K399" s="160"/>
      <c r="L399" s="290"/>
      <c r="M399" s="250"/>
      <c r="N399" s="250"/>
      <c r="O399" s="250"/>
      <c r="P399" s="250"/>
      <c r="Q399" s="250"/>
      <c r="R399" s="250"/>
      <c r="S399" s="250"/>
      <c r="T399" s="57" t="s">
        <v>401</v>
      </c>
      <c r="U399" s="72"/>
      <c r="V399" s="72">
        <f>0.3*V395</f>
        <v>3.8879999999999999</v>
      </c>
      <c r="W399" s="163" t="s">
        <v>2</v>
      </c>
      <c r="X399" s="161">
        <v>3</v>
      </c>
      <c r="Y399" s="45">
        <v>3850000</v>
      </c>
      <c r="Z399" s="63"/>
      <c r="AA399" s="75">
        <v>0.5</v>
      </c>
      <c r="AB399" s="161">
        <f t="shared" ref="AB399" si="34">X399*Y399*AA399</f>
        <v>5775000</v>
      </c>
      <c r="AC399" s="249"/>
      <c r="AD399" s="252"/>
      <c r="AE399" s="26"/>
    </row>
    <row r="400" spans="1:38" s="74" customFormat="1" ht="21.75" customHeight="1">
      <c r="A400" s="269"/>
      <c r="B400" s="266"/>
      <c r="C400" s="264"/>
      <c r="D400" s="264"/>
      <c r="E400" s="264"/>
      <c r="F400" s="264"/>
      <c r="G400" s="249"/>
      <c r="H400" s="263"/>
      <c r="I400" s="319"/>
      <c r="J400" s="250"/>
      <c r="K400" s="160"/>
      <c r="L400" s="290"/>
      <c r="M400" s="250"/>
      <c r="N400" s="250"/>
      <c r="O400" s="250"/>
      <c r="P400" s="250"/>
      <c r="Q400" s="250"/>
      <c r="R400" s="250"/>
      <c r="S400" s="250"/>
      <c r="T400" s="165" t="s">
        <v>473</v>
      </c>
      <c r="U400" s="72"/>
      <c r="V400" s="72"/>
      <c r="W400" s="163" t="s">
        <v>395</v>
      </c>
      <c r="X400" s="168">
        <v>1</v>
      </c>
      <c r="Y400" s="45"/>
      <c r="Z400" s="63"/>
      <c r="AA400" s="65"/>
      <c r="AB400" s="161"/>
      <c r="AC400" s="249"/>
      <c r="AD400" s="252"/>
      <c r="AE400" s="26"/>
    </row>
    <row r="401" spans="1:38" s="83" customFormat="1" ht="32.25" customHeight="1">
      <c r="A401" s="269">
        <v>37</v>
      </c>
      <c r="B401" s="266" t="s">
        <v>678</v>
      </c>
      <c r="C401" s="264">
        <v>64</v>
      </c>
      <c r="D401" s="264">
        <v>484</v>
      </c>
      <c r="E401" s="264">
        <v>431.9</v>
      </c>
      <c r="F401" s="264" t="s">
        <v>26</v>
      </c>
      <c r="G401" s="249">
        <v>432</v>
      </c>
      <c r="H401" s="263">
        <f>E401-G401</f>
        <v>-0.10000000000002274</v>
      </c>
      <c r="I401" s="317">
        <v>432</v>
      </c>
      <c r="J401" s="249">
        <v>1872</v>
      </c>
      <c r="K401" s="249">
        <v>450</v>
      </c>
      <c r="L401" s="258">
        <f>I401/J401*100</f>
        <v>23.076923076923077</v>
      </c>
      <c r="M401" s="249">
        <v>5</v>
      </c>
      <c r="N401" s="249">
        <v>4</v>
      </c>
      <c r="O401" s="249">
        <v>80000</v>
      </c>
      <c r="P401" s="249">
        <f>O401*I401</f>
        <v>34560000</v>
      </c>
      <c r="Q401" s="249">
        <f>P401*3</f>
        <v>103680000</v>
      </c>
      <c r="R401" s="249">
        <f>M401*N401*R7</f>
        <v>10200000</v>
      </c>
      <c r="S401" s="249">
        <f>SUM(P401:R406)</f>
        <v>148440000</v>
      </c>
      <c r="T401" s="43" t="s">
        <v>410</v>
      </c>
      <c r="U401" s="72">
        <v>25</v>
      </c>
      <c r="V401" s="72">
        <f>(I401-X406)/U401</f>
        <v>16.68</v>
      </c>
      <c r="W401" s="163" t="s">
        <v>2</v>
      </c>
      <c r="X401" s="161">
        <v>8</v>
      </c>
      <c r="Y401" s="45"/>
      <c r="Z401" s="63"/>
      <c r="AA401" s="75"/>
      <c r="AB401" s="161"/>
      <c r="AC401" s="249">
        <f>SUM(AB401:AB406)</f>
        <v>74500000</v>
      </c>
      <c r="AD401" s="252">
        <f>S401+AC401</f>
        <v>222940000</v>
      </c>
      <c r="AE401" s="155" t="s">
        <v>679</v>
      </c>
      <c r="AF401" s="82"/>
      <c r="AJ401" s="83" t="s">
        <v>680</v>
      </c>
      <c r="AL401" s="304" t="s">
        <v>682</v>
      </c>
    </row>
    <row r="402" spans="1:38" s="83" customFormat="1" ht="23.25" customHeight="1">
      <c r="A402" s="269"/>
      <c r="B402" s="266"/>
      <c r="C402" s="264"/>
      <c r="D402" s="264"/>
      <c r="E402" s="264"/>
      <c r="F402" s="264"/>
      <c r="G402" s="249"/>
      <c r="H402" s="263"/>
      <c r="I402" s="317"/>
      <c r="J402" s="249"/>
      <c r="K402" s="249"/>
      <c r="L402" s="258"/>
      <c r="M402" s="249"/>
      <c r="N402" s="249"/>
      <c r="O402" s="249"/>
      <c r="P402" s="249"/>
      <c r="Q402" s="249"/>
      <c r="R402" s="249"/>
      <c r="S402" s="249"/>
      <c r="T402" s="57" t="s">
        <v>399</v>
      </c>
      <c r="U402" s="72"/>
      <c r="V402" s="72"/>
      <c r="W402" s="163" t="s">
        <v>2</v>
      </c>
      <c r="X402" s="161">
        <v>8</v>
      </c>
      <c r="Y402" s="45">
        <v>4500000</v>
      </c>
      <c r="Z402" s="63"/>
      <c r="AA402" s="75">
        <v>1</v>
      </c>
      <c r="AB402" s="161">
        <f>X402*Y402*AA402</f>
        <v>36000000</v>
      </c>
      <c r="AC402" s="249"/>
      <c r="AD402" s="252"/>
      <c r="AE402" s="155"/>
      <c r="AF402" s="82"/>
      <c r="AL402" s="304"/>
    </row>
    <row r="403" spans="1:38" s="83" customFormat="1" ht="37.5" customHeight="1">
      <c r="A403" s="269"/>
      <c r="B403" s="266"/>
      <c r="C403" s="264"/>
      <c r="D403" s="264"/>
      <c r="E403" s="264"/>
      <c r="F403" s="264"/>
      <c r="G403" s="249"/>
      <c r="H403" s="263"/>
      <c r="I403" s="317"/>
      <c r="J403" s="249"/>
      <c r="K403" s="249"/>
      <c r="L403" s="258"/>
      <c r="M403" s="249"/>
      <c r="N403" s="249"/>
      <c r="O403" s="249"/>
      <c r="P403" s="249"/>
      <c r="Q403" s="249"/>
      <c r="R403" s="249"/>
      <c r="S403" s="249"/>
      <c r="T403" s="59" t="s">
        <v>409</v>
      </c>
      <c r="U403" s="72"/>
      <c r="V403" s="72"/>
      <c r="W403" s="163" t="s">
        <v>2</v>
      </c>
      <c r="X403" s="179">
        <v>11</v>
      </c>
      <c r="Y403" s="45"/>
      <c r="Z403" s="77"/>
      <c r="AA403" s="65"/>
      <c r="AB403" s="161"/>
      <c r="AC403" s="249"/>
      <c r="AD403" s="252"/>
      <c r="AE403" s="155"/>
      <c r="AF403" s="82"/>
      <c r="AL403" s="304"/>
    </row>
    <row r="404" spans="1:38" s="83" customFormat="1" ht="23.25" customHeight="1">
      <c r="A404" s="269"/>
      <c r="B404" s="266"/>
      <c r="C404" s="264"/>
      <c r="D404" s="264"/>
      <c r="E404" s="264"/>
      <c r="F404" s="264"/>
      <c r="G404" s="249"/>
      <c r="H404" s="263"/>
      <c r="I404" s="317"/>
      <c r="J404" s="249"/>
      <c r="K404" s="249"/>
      <c r="L404" s="258"/>
      <c r="M404" s="249"/>
      <c r="N404" s="249"/>
      <c r="O404" s="249"/>
      <c r="P404" s="249"/>
      <c r="Q404" s="249"/>
      <c r="R404" s="249"/>
      <c r="S404" s="249"/>
      <c r="T404" s="57" t="s">
        <v>399</v>
      </c>
      <c r="U404" s="72"/>
      <c r="V404" s="72"/>
      <c r="W404" s="163" t="s">
        <v>2</v>
      </c>
      <c r="X404" s="179">
        <v>9</v>
      </c>
      <c r="Y404" s="45">
        <v>3850000</v>
      </c>
      <c r="Z404" s="77"/>
      <c r="AA404" s="65">
        <v>1</v>
      </c>
      <c r="AB404" s="161">
        <f t="shared" ref="AB404:AB405" si="35">X404*Y404*AA404</f>
        <v>34650000</v>
      </c>
      <c r="AC404" s="249"/>
      <c r="AD404" s="252"/>
      <c r="AE404" s="155"/>
      <c r="AF404" s="82"/>
      <c r="AL404" s="304"/>
    </row>
    <row r="405" spans="1:38" s="83" customFormat="1" ht="23.25" customHeight="1">
      <c r="A405" s="269"/>
      <c r="B405" s="266"/>
      <c r="C405" s="264"/>
      <c r="D405" s="264"/>
      <c r="E405" s="264"/>
      <c r="F405" s="264"/>
      <c r="G405" s="249"/>
      <c r="H405" s="263"/>
      <c r="I405" s="317"/>
      <c r="J405" s="249"/>
      <c r="K405" s="249"/>
      <c r="L405" s="258"/>
      <c r="M405" s="249"/>
      <c r="N405" s="249"/>
      <c r="O405" s="249"/>
      <c r="P405" s="249"/>
      <c r="Q405" s="249"/>
      <c r="R405" s="249"/>
      <c r="S405" s="249"/>
      <c r="T405" s="57" t="s">
        <v>401</v>
      </c>
      <c r="U405" s="72"/>
      <c r="V405" s="72">
        <f>0.3*V401</f>
        <v>5.0039999999999996</v>
      </c>
      <c r="W405" s="163" t="s">
        <v>2</v>
      </c>
      <c r="X405" s="161">
        <v>2</v>
      </c>
      <c r="Y405" s="45">
        <v>3850000</v>
      </c>
      <c r="Z405" s="63"/>
      <c r="AA405" s="75">
        <v>0.5</v>
      </c>
      <c r="AB405" s="161">
        <f t="shared" si="35"/>
        <v>3850000</v>
      </c>
      <c r="AC405" s="249"/>
      <c r="AD405" s="252"/>
      <c r="AE405" s="155"/>
      <c r="AF405" s="82"/>
      <c r="AL405" s="304"/>
    </row>
    <row r="406" spans="1:38" s="83" customFormat="1" ht="23.25" customHeight="1">
      <c r="A406" s="269"/>
      <c r="B406" s="266"/>
      <c r="C406" s="264"/>
      <c r="D406" s="264"/>
      <c r="E406" s="264"/>
      <c r="F406" s="264"/>
      <c r="G406" s="249"/>
      <c r="H406" s="263"/>
      <c r="I406" s="317"/>
      <c r="J406" s="249"/>
      <c r="K406" s="249"/>
      <c r="L406" s="258"/>
      <c r="M406" s="249"/>
      <c r="N406" s="249"/>
      <c r="O406" s="249"/>
      <c r="P406" s="249"/>
      <c r="Q406" s="249"/>
      <c r="R406" s="249"/>
      <c r="S406" s="249"/>
      <c r="T406" s="47" t="s">
        <v>424</v>
      </c>
      <c r="U406" s="72"/>
      <c r="V406" s="72"/>
      <c r="W406" s="163" t="s">
        <v>0</v>
      </c>
      <c r="X406" s="168">
        <v>15</v>
      </c>
      <c r="Y406" s="81"/>
      <c r="Z406" s="77"/>
      <c r="AA406" s="163"/>
      <c r="AB406" s="161"/>
      <c r="AC406" s="249"/>
      <c r="AD406" s="252"/>
      <c r="AE406" s="155"/>
      <c r="AF406" s="82"/>
      <c r="AL406" s="304"/>
    </row>
    <row r="407" spans="1:38" ht="27" customHeight="1">
      <c r="A407" s="164"/>
      <c r="B407" s="30" t="s">
        <v>436</v>
      </c>
      <c r="C407" s="85"/>
      <c r="D407" s="85"/>
      <c r="E407" s="86">
        <f>SUM(E10:E406)</f>
        <v>22529.799999999996</v>
      </c>
      <c r="F407" s="86"/>
      <c r="G407" s="200">
        <f>SUM(G10:G406)</f>
        <v>23723.4</v>
      </c>
      <c r="H407" s="200">
        <f>SUM(H10:H406)</f>
        <v>164.5999999999998</v>
      </c>
      <c r="I407" s="322">
        <f>SUM(I10:I406)</f>
        <v>22949.599999999999</v>
      </c>
      <c r="J407" s="200">
        <f>SUM(J10:J406)</f>
        <v>39918.400000000001</v>
      </c>
      <c r="K407" s="86">
        <f>SUM(K10:K406)</f>
        <v>30695.35</v>
      </c>
      <c r="L407" s="86"/>
      <c r="M407" s="169"/>
      <c r="N407" s="169">
        <f>SUM(N10:N406)</f>
        <v>134</v>
      </c>
      <c r="O407" s="169"/>
      <c r="P407" s="169">
        <f>SUM(P10:P406)</f>
        <v>1835968000</v>
      </c>
      <c r="Q407" s="169">
        <f>SUM(Q10:Q406)</f>
        <v>5507904000</v>
      </c>
      <c r="R407" s="169">
        <f>SUM(R10:R406)</f>
        <v>622710000</v>
      </c>
      <c r="S407" s="169">
        <f>SUM(S10:S406)</f>
        <v>7966582000</v>
      </c>
      <c r="T407" s="86"/>
      <c r="U407" s="86"/>
      <c r="V407" s="86"/>
      <c r="W407" s="86"/>
      <c r="X407" s="86"/>
      <c r="Y407" s="86"/>
      <c r="Z407" s="86"/>
      <c r="AA407" s="86"/>
      <c r="AB407" s="86"/>
      <c r="AC407" s="169">
        <f>SUM(AC10:AC406)</f>
        <v>3721266200</v>
      </c>
      <c r="AD407" s="169">
        <f>SUM(AD10:AD406)</f>
        <v>11687848200</v>
      </c>
      <c r="AE407" s="26"/>
    </row>
    <row r="408" spans="1:38" s="201" customFormat="1">
      <c r="A408" s="177"/>
      <c r="B408" s="88"/>
      <c r="C408" s="2"/>
      <c r="D408" s="2"/>
      <c r="E408" s="177"/>
      <c r="F408" s="177"/>
      <c r="G408" s="177"/>
      <c r="H408" s="177"/>
      <c r="I408" s="323"/>
      <c r="J408" s="177"/>
      <c r="K408" s="177"/>
      <c r="L408" s="177"/>
      <c r="M408" s="177"/>
      <c r="N408" s="177"/>
      <c r="O408" s="177"/>
      <c r="P408" s="177"/>
      <c r="Q408" s="177"/>
      <c r="R408" s="177"/>
      <c r="S408" s="177"/>
      <c r="T408" s="2"/>
      <c r="U408" s="177"/>
      <c r="V408" s="177"/>
      <c r="W408" s="177"/>
      <c r="X408" s="2"/>
      <c r="Y408" s="177"/>
      <c r="Z408" s="2"/>
      <c r="AA408" s="2"/>
      <c r="AB408" s="2"/>
      <c r="AC408" s="89"/>
      <c r="AD408" s="90"/>
    </row>
    <row r="409" spans="1:38" s="201" customFormat="1" hidden="1">
      <c r="A409" s="177"/>
      <c r="B409" s="88"/>
      <c r="C409" s="2"/>
      <c r="D409" s="2"/>
      <c r="E409" s="177"/>
      <c r="F409" s="177"/>
      <c r="G409" s="177"/>
      <c r="H409" s="177"/>
      <c r="I409" s="323"/>
      <c r="J409" s="177"/>
      <c r="K409" s="177"/>
      <c r="L409" s="177"/>
      <c r="M409" s="177"/>
      <c r="N409" s="177"/>
      <c r="O409" s="177"/>
      <c r="P409" s="89"/>
      <c r="Q409" s="89"/>
      <c r="R409" s="89"/>
      <c r="S409" s="89"/>
      <c r="T409" s="2"/>
      <c r="U409" s="177"/>
      <c r="V409" s="177"/>
      <c r="W409" s="177"/>
      <c r="X409" s="2"/>
      <c r="Y409" s="177"/>
      <c r="Z409" s="2"/>
      <c r="AA409" s="2"/>
      <c r="AB409" s="2"/>
      <c r="AC409" s="177"/>
      <c r="AD409" s="90"/>
    </row>
    <row r="410" spans="1:38" s="201" customFormat="1" hidden="1">
      <c r="A410" s="177"/>
      <c r="B410" s="88"/>
      <c r="C410" s="2"/>
      <c r="D410" s="2"/>
      <c r="E410" s="177"/>
      <c r="F410" s="177"/>
      <c r="G410" s="177"/>
      <c r="H410" s="177"/>
      <c r="I410" s="323"/>
      <c r="J410" s="177"/>
      <c r="K410" s="177"/>
      <c r="L410" s="177"/>
      <c r="M410" s="177"/>
      <c r="N410" s="177"/>
      <c r="O410" s="177"/>
      <c r="P410" s="89"/>
      <c r="Q410" s="89"/>
      <c r="R410" s="177"/>
      <c r="S410" s="177"/>
      <c r="T410" s="2"/>
      <c r="U410" s="177"/>
      <c r="V410" s="177"/>
      <c r="W410" s="177"/>
      <c r="X410" s="2"/>
      <c r="Y410" s="177"/>
      <c r="Z410" s="2"/>
      <c r="AA410" s="2"/>
      <c r="AB410" s="2"/>
      <c r="AC410" s="177"/>
      <c r="AD410" s="90"/>
    </row>
    <row r="411" spans="1:38" s="201" customFormat="1" hidden="1">
      <c r="A411" s="177"/>
      <c r="B411" s="88"/>
      <c r="C411" s="2"/>
      <c r="D411" s="2"/>
      <c r="E411" s="177"/>
      <c r="F411" s="177"/>
      <c r="G411" s="177"/>
      <c r="H411" s="177"/>
      <c r="I411" s="323"/>
      <c r="J411" s="177"/>
      <c r="K411" s="177"/>
      <c r="L411" s="177"/>
      <c r="M411" s="177"/>
      <c r="N411" s="177"/>
      <c r="O411" s="177"/>
      <c r="P411" s="177"/>
      <c r="Q411" s="177"/>
      <c r="R411" s="177"/>
      <c r="S411" s="177"/>
      <c r="T411" s="2"/>
      <c r="U411" s="177"/>
      <c r="V411" s="177"/>
      <c r="W411" s="177"/>
      <c r="X411" s="2"/>
      <c r="Y411" s="177"/>
      <c r="Z411" s="2"/>
      <c r="AA411" s="2"/>
      <c r="AB411" s="2"/>
      <c r="AC411" s="177"/>
      <c r="AD411" s="90"/>
    </row>
    <row r="412" spans="1:38" s="201" customFormat="1" hidden="1">
      <c r="A412" s="177"/>
      <c r="B412" s="88"/>
      <c r="C412" s="2"/>
      <c r="D412" s="2"/>
      <c r="E412" s="177"/>
      <c r="F412" s="177"/>
      <c r="G412" s="177"/>
      <c r="H412" s="177"/>
      <c r="I412" s="323"/>
      <c r="J412" s="177"/>
      <c r="K412" s="177"/>
      <c r="L412" s="177"/>
      <c r="M412" s="177"/>
      <c r="N412" s="177"/>
      <c r="O412" s="177"/>
      <c r="P412" s="89"/>
      <c r="Q412" s="177"/>
      <c r="R412" s="177"/>
      <c r="S412" s="177"/>
      <c r="T412" s="2"/>
      <c r="U412" s="177"/>
      <c r="V412" s="177"/>
      <c r="W412" s="177"/>
      <c r="X412" s="2"/>
      <c r="Y412" s="177"/>
      <c r="Z412" s="2"/>
      <c r="AA412" s="2"/>
      <c r="AB412" s="2"/>
      <c r="AC412" s="177"/>
      <c r="AD412" s="90"/>
    </row>
    <row r="413" spans="1:38" s="201" customFormat="1" hidden="1">
      <c r="A413" s="177"/>
      <c r="B413" s="88"/>
      <c r="C413" s="2"/>
      <c r="D413" s="2"/>
      <c r="E413" s="177"/>
      <c r="F413" s="177"/>
      <c r="G413" s="177"/>
      <c r="H413" s="177"/>
      <c r="I413" s="323"/>
      <c r="J413" s="177"/>
      <c r="K413" s="177"/>
      <c r="L413" s="177"/>
      <c r="M413" s="177"/>
      <c r="N413" s="177"/>
      <c r="O413" s="177"/>
      <c r="P413" s="177"/>
      <c r="Q413" s="177"/>
      <c r="R413" s="177"/>
      <c r="S413" s="177"/>
      <c r="T413" s="2"/>
      <c r="U413" s="177"/>
      <c r="V413" s="177"/>
      <c r="W413" s="177"/>
      <c r="X413" s="2"/>
      <c r="Y413" s="177"/>
      <c r="Z413" s="2"/>
      <c r="AA413" s="2"/>
      <c r="AB413" s="2"/>
      <c r="AC413" s="177"/>
      <c r="AD413" s="90"/>
    </row>
    <row r="414" spans="1:38" s="201" customFormat="1" hidden="1">
      <c r="A414" s="177"/>
      <c r="B414" s="88"/>
      <c r="C414" s="2"/>
      <c r="D414" s="2"/>
      <c r="E414" s="177"/>
      <c r="F414" s="177"/>
      <c r="G414" s="177"/>
      <c r="H414" s="177"/>
      <c r="I414" s="323"/>
      <c r="J414" s="177"/>
      <c r="K414" s="177"/>
      <c r="L414" s="177"/>
      <c r="M414" s="177"/>
      <c r="N414" s="177"/>
      <c r="O414" s="177"/>
      <c r="P414" s="177"/>
      <c r="Q414" s="177"/>
      <c r="R414" s="177"/>
      <c r="S414" s="177"/>
      <c r="T414" s="2"/>
      <c r="U414" s="177"/>
      <c r="V414" s="177"/>
      <c r="W414" s="177"/>
      <c r="X414" s="2"/>
      <c r="Y414" s="177"/>
      <c r="Z414" s="2"/>
      <c r="AA414" s="2"/>
      <c r="AB414" s="2"/>
      <c r="AC414" s="177"/>
      <c r="AD414" s="90"/>
    </row>
    <row r="415" spans="1:38" s="201" customFormat="1" hidden="1">
      <c r="A415" s="177"/>
      <c r="B415" s="88"/>
      <c r="C415" s="2"/>
      <c r="D415" s="2"/>
      <c r="E415" s="177"/>
      <c r="F415" s="177"/>
      <c r="G415" s="177"/>
      <c r="H415" s="177"/>
      <c r="I415" s="323"/>
      <c r="J415" s="177"/>
      <c r="K415" s="177"/>
      <c r="L415" s="177"/>
      <c r="M415" s="177"/>
      <c r="N415" s="177"/>
      <c r="O415" s="177"/>
      <c r="P415" s="89">
        <f>I407*80000</f>
        <v>1835968000</v>
      </c>
      <c r="Q415" s="89">
        <f>P415*3</f>
        <v>5507904000</v>
      </c>
      <c r="R415" s="89"/>
      <c r="S415" s="89"/>
      <c r="T415" s="89"/>
      <c r="U415" s="89"/>
      <c r="V415" s="89"/>
      <c r="W415" s="89"/>
      <c r="X415" s="89"/>
      <c r="Y415" s="89"/>
      <c r="Z415" s="89"/>
      <c r="AA415" s="89"/>
      <c r="AB415" s="89"/>
      <c r="AC415" s="89"/>
      <c r="AD415" s="89"/>
    </row>
    <row r="416" spans="1:38" s="201" customFormat="1" hidden="1">
      <c r="A416" s="177"/>
      <c r="B416" s="88"/>
      <c r="C416" s="2"/>
      <c r="D416" s="2"/>
      <c r="E416" s="177"/>
      <c r="F416" s="177"/>
      <c r="G416" s="177"/>
      <c r="H416" s="177"/>
      <c r="I416" s="323"/>
      <c r="J416" s="177"/>
      <c r="K416" s="177"/>
      <c r="L416" s="177"/>
      <c r="M416" s="177"/>
      <c r="N416" s="177"/>
      <c r="O416" s="177"/>
      <c r="P416" s="89">
        <f>P407-P415</f>
        <v>0</v>
      </c>
      <c r="Q416" s="89">
        <f>Q407-Q415</f>
        <v>0</v>
      </c>
      <c r="R416" s="177"/>
      <c r="S416" s="177"/>
      <c r="T416" s="2"/>
      <c r="U416" s="177"/>
      <c r="V416" s="177"/>
      <c r="W416" s="177"/>
      <c r="X416" s="2"/>
      <c r="Y416" s="177"/>
      <c r="Z416" s="2"/>
      <c r="AA416" s="2"/>
      <c r="AB416" s="2"/>
      <c r="AC416" s="177"/>
      <c r="AD416" s="90"/>
    </row>
    <row r="417" spans="1:30" s="204" customFormat="1">
      <c r="A417" s="202"/>
      <c r="B417" s="203"/>
      <c r="E417" s="202"/>
      <c r="F417" s="202"/>
      <c r="G417" s="202"/>
      <c r="H417" s="202"/>
      <c r="I417" s="324"/>
      <c r="J417" s="202"/>
      <c r="K417" s="202"/>
      <c r="L417" s="202"/>
      <c r="M417" s="202"/>
      <c r="N417" s="202"/>
      <c r="O417" s="202"/>
      <c r="P417" s="202">
        <f>I407*80000</f>
        <v>1835968000</v>
      </c>
      <c r="Q417" s="202">
        <f>P417*3</f>
        <v>5507904000</v>
      </c>
      <c r="R417" s="202"/>
      <c r="S417" s="202">
        <f>P417+Q417+R407</f>
        <v>7966582000</v>
      </c>
      <c r="U417" s="202"/>
      <c r="V417" s="202"/>
      <c r="W417" s="202"/>
      <c r="Y417" s="202"/>
      <c r="AC417" s="202">
        <f>SUM(AC10:AC406)</f>
        <v>3721266200</v>
      </c>
      <c r="AD417" s="209"/>
    </row>
    <row r="418" spans="1:30" s="201" customFormat="1">
      <c r="A418" s="177"/>
      <c r="B418" s="88"/>
      <c r="C418" s="2"/>
      <c r="D418" s="2"/>
      <c r="E418" s="177"/>
      <c r="F418" s="177"/>
      <c r="G418" s="177"/>
      <c r="H418" s="177"/>
      <c r="I418" s="323"/>
      <c r="J418" s="177"/>
      <c r="K418" s="177"/>
      <c r="L418" s="177"/>
      <c r="M418" s="177"/>
      <c r="N418" s="177"/>
      <c r="O418" s="177"/>
      <c r="P418" s="177"/>
      <c r="Q418" s="177"/>
      <c r="R418" s="177"/>
      <c r="S418" s="177"/>
      <c r="T418" s="2"/>
      <c r="U418" s="177"/>
      <c r="V418" s="177"/>
      <c r="W418" s="177"/>
      <c r="X418" s="2"/>
      <c r="Y418" s="177"/>
      <c r="Z418" s="2"/>
      <c r="AA418" s="2"/>
      <c r="AB418" s="2"/>
      <c r="AC418" s="177"/>
      <c r="AD418" s="90"/>
    </row>
    <row r="419" spans="1:30" s="201" customFormat="1">
      <c r="A419" s="177"/>
      <c r="B419" s="88"/>
      <c r="C419" s="2"/>
      <c r="D419" s="2"/>
      <c r="E419" s="177"/>
      <c r="F419" s="177"/>
      <c r="G419" s="177"/>
      <c r="H419" s="177"/>
      <c r="I419" s="323"/>
      <c r="J419" s="177"/>
      <c r="K419" s="177"/>
      <c r="L419" s="177"/>
      <c r="M419" s="177"/>
      <c r="N419" s="177"/>
      <c r="O419" s="177"/>
      <c r="P419" s="177"/>
      <c r="Q419" s="177"/>
      <c r="R419" s="177"/>
      <c r="S419" s="177"/>
      <c r="T419" s="2"/>
      <c r="U419" s="177"/>
      <c r="V419" s="177"/>
      <c r="W419" s="177"/>
      <c r="X419" s="2"/>
      <c r="Y419" s="177"/>
      <c r="Z419" s="2"/>
      <c r="AA419" s="2"/>
      <c r="AB419" s="2"/>
      <c r="AC419" s="177"/>
      <c r="AD419" s="90"/>
    </row>
  </sheetData>
  <autoFilter ref="A8:AD407"/>
  <mergeCells count="813">
    <mergeCell ref="S390:S394"/>
    <mergeCell ref="AC390:AC394"/>
    <mergeCell ref="AD390:AD394"/>
    <mergeCell ref="J390:J394"/>
    <mergeCell ref="K390:K394"/>
    <mergeCell ref="L390:L394"/>
    <mergeCell ref="M390:M394"/>
    <mergeCell ref="N390:N394"/>
    <mergeCell ref="O390:O394"/>
    <mergeCell ref="P390:P394"/>
    <mergeCell ref="Q390:Q394"/>
    <mergeCell ref="R390:R394"/>
    <mergeCell ref="A390:A394"/>
    <mergeCell ref="B390:B394"/>
    <mergeCell ref="C390:C394"/>
    <mergeCell ref="D390:D394"/>
    <mergeCell ref="E390:E394"/>
    <mergeCell ref="F390:F394"/>
    <mergeCell ref="G390:G394"/>
    <mergeCell ref="H390:H394"/>
    <mergeCell ref="I390:I394"/>
    <mergeCell ref="AL401:AL406"/>
    <mergeCell ref="S401:S406"/>
    <mergeCell ref="AC401:AC406"/>
    <mergeCell ref="AD401:AD406"/>
    <mergeCell ref="M401:M406"/>
    <mergeCell ref="N401:N406"/>
    <mergeCell ref="O401:O406"/>
    <mergeCell ref="P401:P406"/>
    <mergeCell ref="Q401:Q406"/>
    <mergeCell ref="R401:R406"/>
    <mergeCell ref="G401:G406"/>
    <mergeCell ref="H401:H406"/>
    <mergeCell ref="I401:I406"/>
    <mergeCell ref="J401:J406"/>
    <mergeCell ref="K401:K406"/>
    <mergeCell ref="L401:L406"/>
    <mergeCell ref="AC282:AC283"/>
    <mergeCell ref="AD282:AD283"/>
    <mergeCell ref="AE282:AE283"/>
    <mergeCell ref="P395:P400"/>
    <mergeCell ref="Q395:Q400"/>
    <mergeCell ref="R395:R400"/>
    <mergeCell ref="S395:S400"/>
    <mergeCell ref="AC395:AC400"/>
    <mergeCell ref="I359:I373"/>
    <mergeCell ref="J359:J373"/>
    <mergeCell ref="K375:K389"/>
    <mergeCell ref="L375:L389"/>
    <mergeCell ref="I333:I358"/>
    <mergeCell ref="J333:J358"/>
    <mergeCell ref="K333:K358"/>
    <mergeCell ref="L333:L358"/>
    <mergeCell ref="N326:N332"/>
    <mergeCell ref="AC314:AC325"/>
    <mergeCell ref="AE4:AE6"/>
    <mergeCell ref="A401:A406"/>
    <mergeCell ref="B401:B406"/>
    <mergeCell ref="C401:C406"/>
    <mergeCell ref="D401:D406"/>
    <mergeCell ref="E401:E406"/>
    <mergeCell ref="F401:F406"/>
    <mergeCell ref="G282:G283"/>
    <mergeCell ref="H282:H283"/>
    <mergeCell ref="I282:I283"/>
    <mergeCell ref="J282:J283"/>
    <mergeCell ref="K282:K283"/>
    <mergeCell ref="L282:L283"/>
    <mergeCell ref="A282:A283"/>
    <mergeCell ref="B282:B283"/>
    <mergeCell ref="C282:C283"/>
    <mergeCell ref="D282:D283"/>
    <mergeCell ref="E282:E283"/>
    <mergeCell ref="F282:F283"/>
    <mergeCell ref="S359:S373"/>
    <mergeCell ref="AC359:AC373"/>
    <mergeCell ref="AD359:AD373"/>
    <mergeCell ref="AD395:AD400"/>
    <mergeCell ref="A148:A154"/>
    <mergeCell ref="AF359:AF361"/>
    <mergeCell ref="AH359:AH373"/>
    <mergeCell ref="AE359:AE373"/>
    <mergeCell ref="K359:K373"/>
    <mergeCell ref="L359:L373"/>
    <mergeCell ref="M359:M373"/>
    <mergeCell ref="N359:N373"/>
    <mergeCell ref="O359:O373"/>
    <mergeCell ref="P359:P373"/>
    <mergeCell ref="Q359:Q373"/>
    <mergeCell ref="R359:R373"/>
    <mergeCell ref="B148:B154"/>
    <mergeCell ref="C148:C154"/>
    <mergeCell ref="D148:D154"/>
    <mergeCell ref="E148:E154"/>
    <mergeCell ref="F148:F154"/>
    <mergeCell ref="G148:G154"/>
    <mergeCell ref="A359:A373"/>
    <mergeCell ref="B359:B373"/>
    <mergeCell ref="O395:O400"/>
    <mergeCell ref="H395:H400"/>
    <mergeCell ref="I395:I400"/>
    <mergeCell ref="J395:J400"/>
    <mergeCell ref="L395:L400"/>
    <mergeCell ref="M395:M400"/>
    <mergeCell ref="N395:N400"/>
    <mergeCell ref="A395:A400"/>
    <mergeCell ref="B395:B400"/>
    <mergeCell ref="C395:C400"/>
    <mergeCell ref="D395:D400"/>
    <mergeCell ref="E395:E400"/>
    <mergeCell ref="F395:F400"/>
    <mergeCell ref="G395:G400"/>
    <mergeCell ref="G359:G373"/>
    <mergeCell ref="H359:H373"/>
    <mergeCell ref="C359:C373"/>
    <mergeCell ref="D359:D373"/>
    <mergeCell ref="E359:E373"/>
    <mergeCell ref="F359:F373"/>
    <mergeCell ref="S375:S389"/>
    <mergeCell ref="AC375:AC384"/>
    <mergeCell ref="AD375:AD389"/>
    <mergeCell ref="C385:C389"/>
    <mergeCell ref="D385:D389"/>
    <mergeCell ref="E385:E389"/>
    <mergeCell ref="F385:F389"/>
    <mergeCell ref="G385:G389"/>
    <mergeCell ref="H385:H389"/>
    <mergeCell ref="AC385:AC389"/>
    <mergeCell ref="M375:M389"/>
    <mergeCell ref="N375:N389"/>
    <mergeCell ref="O375:O389"/>
    <mergeCell ref="P375:P389"/>
    <mergeCell ref="Q375:Q389"/>
    <mergeCell ref="R375:R389"/>
    <mergeCell ref="G375:G384"/>
    <mergeCell ref="H375:H384"/>
    <mergeCell ref="I375:I389"/>
    <mergeCell ref="J375:J389"/>
    <mergeCell ref="A375:A389"/>
    <mergeCell ref="B375:B389"/>
    <mergeCell ref="C375:C384"/>
    <mergeCell ref="D375:D384"/>
    <mergeCell ref="E375:E384"/>
    <mergeCell ref="F375:F384"/>
    <mergeCell ref="S333:S358"/>
    <mergeCell ref="AC333:AC343"/>
    <mergeCell ref="AD333:AD358"/>
    <mergeCell ref="C344:C358"/>
    <mergeCell ref="D344:D358"/>
    <mergeCell ref="E344:E358"/>
    <mergeCell ref="F344:F358"/>
    <mergeCell ref="G344:G358"/>
    <mergeCell ref="H344:H358"/>
    <mergeCell ref="AC344:AC358"/>
    <mergeCell ref="M333:M358"/>
    <mergeCell ref="N333:N358"/>
    <mergeCell ref="O333:O358"/>
    <mergeCell ref="P333:P358"/>
    <mergeCell ref="Q333:Q358"/>
    <mergeCell ref="R333:R358"/>
    <mergeCell ref="G333:G343"/>
    <mergeCell ref="H333:H343"/>
    <mergeCell ref="A333:A358"/>
    <mergeCell ref="B333:B358"/>
    <mergeCell ref="C333:C343"/>
    <mergeCell ref="D333:D343"/>
    <mergeCell ref="E333:E343"/>
    <mergeCell ref="F333:F343"/>
    <mergeCell ref="AD326:AD332"/>
    <mergeCell ref="C330:C332"/>
    <mergeCell ref="D330:D332"/>
    <mergeCell ref="E330:E332"/>
    <mergeCell ref="F330:F332"/>
    <mergeCell ref="G330:G332"/>
    <mergeCell ref="H330:H332"/>
    <mergeCell ref="O326:O332"/>
    <mergeCell ref="P326:P332"/>
    <mergeCell ref="Q326:Q332"/>
    <mergeCell ref="R326:R332"/>
    <mergeCell ref="S326:S332"/>
    <mergeCell ref="AC326:AC332"/>
    <mergeCell ref="I326:I332"/>
    <mergeCell ref="J326:J332"/>
    <mergeCell ref="K326:K332"/>
    <mergeCell ref="L326:L332"/>
    <mergeCell ref="M326:M332"/>
    <mergeCell ref="A326:A332"/>
    <mergeCell ref="B326:B332"/>
    <mergeCell ref="C326:C329"/>
    <mergeCell ref="D326:D329"/>
    <mergeCell ref="E326:E329"/>
    <mergeCell ref="F326:F329"/>
    <mergeCell ref="G326:G329"/>
    <mergeCell ref="H326:H329"/>
    <mergeCell ref="N314:N325"/>
    <mergeCell ref="G314:G325"/>
    <mergeCell ref="H314:H325"/>
    <mergeCell ref="I314:I325"/>
    <mergeCell ref="J314:J325"/>
    <mergeCell ref="L314:L325"/>
    <mergeCell ref="M314:M325"/>
    <mergeCell ref="A314:A325"/>
    <mergeCell ref="B314:B325"/>
    <mergeCell ref="C314:C325"/>
    <mergeCell ref="D314:D325"/>
    <mergeCell ref="E314:E325"/>
    <mergeCell ref="F314:F325"/>
    <mergeCell ref="AD303:AD313"/>
    <mergeCell ref="AF303:AF313"/>
    <mergeCell ref="O303:O313"/>
    <mergeCell ref="P303:P313"/>
    <mergeCell ref="Q303:Q313"/>
    <mergeCell ref="R303:R313"/>
    <mergeCell ref="S303:S313"/>
    <mergeCell ref="AC303:AC313"/>
    <mergeCell ref="I303:I313"/>
    <mergeCell ref="J303:J313"/>
    <mergeCell ref="K303:K313"/>
    <mergeCell ref="L303:L313"/>
    <mergeCell ref="M303:M313"/>
    <mergeCell ref="N303:N313"/>
    <mergeCell ref="AD314:AD325"/>
    <mergeCell ref="O314:O325"/>
    <mergeCell ref="P314:P325"/>
    <mergeCell ref="Q314:Q325"/>
    <mergeCell ref="R314:R325"/>
    <mergeCell ref="S314:S325"/>
    <mergeCell ref="AF296:AF302"/>
    <mergeCell ref="A303:A313"/>
    <mergeCell ref="B303:B313"/>
    <mergeCell ref="C303:C313"/>
    <mergeCell ref="D303:D313"/>
    <mergeCell ref="E303:E313"/>
    <mergeCell ref="F303:F313"/>
    <mergeCell ref="G303:G313"/>
    <mergeCell ref="H303:H313"/>
    <mergeCell ref="O296:O302"/>
    <mergeCell ref="P296:P302"/>
    <mergeCell ref="Q296:Q302"/>
    <mergeCell ref="R296:R302"/>
    <mergeCell ref="S296:S302"/>
    <mergeCell ref="AC296:AC302"/>
    <mergeCell ref="I296:I302"/>
    <mergeCell ref="J296:J302"/>
    <mergeCell ref="K296:K302"/>
    <mergeCell ref="N296:N302"/>
    <mergeCell ref="A296:A302"/>
    <mergeCell ref="B296:B302"/>
    <mergeCell ref="C296:C302"/>
    <mergeCell ref="D296:D302"/>
    <mergeCell ref="E296:E302"/>
    <mergeCell ref="F296:F302"/>
    <mergeCell ref="G296:G302"/>
    <mergeCell ref="H296:H302"/>
    <mergeCell ref="G291:G295"/>
    <mergeCell ref="H291:H295"/>
    <mergeCell ref="I291:I295"/>
    <mergeCell ref="J291:J295"/>
    <mergeCell ref="K291:K295"/>
    <mergeCell ref="L291:L295"/>
    <mergeCell ref="AD296:AD302"/>
    <mergeCell ref="A291:A295"/>
    <mergeCell ref="B291:B295"/>
    <mergeCell ref="C291:C295"/>
    <mergeCell ref="D291:D295"/>
    <mergeCell ref="E291:E295"/>
    <mergeCell ref="F291:F295"/>
    <mergeCell ref="S291:S295"/>
    <mergeCell ref="AC291:AC295"/>
    <mergeCell ref="AD291:AD295"/>
    <mergeCell ref="M291:M295"/>
    <mergeCell ref="N291:N295"/>
    <mergeCell ref="O291:O295"/>
    <mergeCell ref="P291:P295"/>
    <mergeCell ref="Q291:Q295"/>
    <mergeCell ref="R291:R295"/>
    <mergeCell ref="L296:L302"/>
    <mergeCell ref="M296:M302"/>
    <mergeCell ref="P282:P283"/>
    <mergeCell ref="Q282:Q283"/>
    <mergeCell ref="R282:R283"/>
    <mergeCell ref="J285:J290"/>
    <mergeCell ref="K285:K288"/>
    <mergeCell ref="L285:L290"/>
    <mergeCell ref="A285:A290"/>
    <mergeCell ref="B285:B290"/>
    <mergeCell ref="C285:C288"/>
    <mergeCell ref="D285:D288"/>
    <mergeCell ref="E285:E288"/>
    <mergeCell ref="F285:F288"/>
    <mergeCell ref="S282:S283"/>
    <mergeCell ref="M282:M283"/>
    <mergeCell ref="N282:N283"/>
    <mergeCell ref="O282:O283"/>
    <mergeCell ref="AC289:AC290"/>
    <mergeCell ref="S285:S290"/>
    <mergeCell ref="AC285:AC288"/>
    <mergeCell ref="AD285:AD290"/>
    <mergeCell ref="C289:C290"/>
    <mergeCell ref="D289:D290"/>
    <mergeCell ref="E289:E290"/>
    <mergeCell ref="F289:F290"/>
    <mergeCell ref="G289:G290"/>
    <mergeCell ref="H289:H290"/>
    <mergeCell ref="K289:K290"/>
    <mergeCell ref="M285:M290"/>
    <mergeCell ref="N285:N290"/>
    <mergeCell ref="O285:O290"/>
    <mergeCell ref="P285:P290"/>
    <mergeCell ref="Q285:Q290"/>
    <mergeCell ref="R285:R290"/>
    <mergeCell ref="G285:G288"/>
    <mergeCell ref="H285:H288"/>
    <mergeCell ref="I285:I290"/>
    <mergeCell ref="Q274:Q280"/>
    <mergeCell ref="R274:R280"/>
    <mergeCell ref="S274:S280"/>
    <mergeCell ref="AC274:AC280"/>
    <mergeCell ref="AD274:AD280"/>
    <mergeCell ref="I274:I280"/>
    <mergeCell ref="J274:J280"/>
    <mergeCell ref="L274:L280"/>
    <mergeCell ref="M274:M280"/>
    <mergeCell ref="N274:N280"/>
    <mergeCell ref="O274:O280"/>
    <mergeCell ref="AD268:AD273"/>
    <mergeCell ref="A274:A280"/>
    <mergeCell ref="B274:B280"/>
    <mergeCell ref="C274:C280"/>
    <mergeCell ref="D274:D280"/>
    <mergeCell ref="E274:E280"/>
    <mergeCell ref="F274:F280"/>
    <mergeCell ref="G274:G280"/>
    <mergeCell ref="H274:H280"/>
    <mergeCell ref="N268:N273"/>
    <mergeCell ref="O268:O273"/>
    <mergeCell ref="P268:P273"/>
    <mergeCell ref="Q268:Q273"/>
    <mergeCell ref="R268:R273"/>
    <mergeCell ref="S268:S273"/>
    <mergeCell ref="G268:G273"/>
    <mergeCell ref="H268:H273"/>
    <mergeCell ref="I268:I273"/>
    <mergeCell ref="J268:J273"/>
    <mergeCell ref="L268:L273"/>
    <mergeCell ref="M268:M273"/>
    <mergeCell ref="A268:A273"/>
    <mergeCell ref="B268:B273"/>
    <mergeCell ref="P274:P280"/>
    <mergeCell ref="C268:C273"/>
    <mergeCell ref="D268:D273"/>
    <mergeCell ref="E268:E273"/>
    <mergeCell ref="F268:F273"/>
    <mergeCell ref="P261:P267"/>
    <mergeCell ref="Q261:Q267"/>
    <mergeCell ref="R261:R267"/>
    <mergeCell ref="S261:S267"/>
    <mergeCell ref="AC261:AC267"/>
    <mergeCell ref="AC268:AC273"/>
    <mergeCell ref="AD261:AD267"/>
    <mergeCell ref="I261:I267"/>
    <mergeCell ref="J261:J267"/>
    <mergeCell ref="L261:L267"/>
    <mergeCell ref="M261:M267"/>
    <mergeCell ref="N261:N267"/>
    <mergeCell ref="O261:O267"/>
    <mergeCell ref="AC254:AC260"/>
    <mergeCell ref="AD254:AD260"/>
    <mergeCell ref="O254:O260"/>
    <mergeCell ref="P254:P260"/>
    <mergeCell ref="Q254:Q260"/>
    <mergeCell ref="R254:R260"/>
    <mergeCell ref="S254:S260"/>
    <mergeCell ref="A261:A267"/>
    <mergeCell ref="B261:B267"/>
    <mergeCell ref="C261:C267"/>
    <mergeCell ref="D261:D267"/>
    <mergeCell ref="E261:E267"/>
    <mergeCell ref="F261:F267"/>
    <mergeCell ref="G261:G267"/>
    <mergeCell ref="H261:H267"/>
    <mergeCell ref="N254:N260"/>
    <mergeCell ref="G254:G260"/>
    <mergeCell ref="H254:H260"/>
    <mergeCell ref="I254:I260"/>
    <mergeCell ref="J254:J260"/>
    <mergeCell ref="L254:L260"/>
    <mergeCell ref="M254:M260"/>
    <mergeCell ref="A254:A260"/>
    <mergeCell ref="B254:B260"/>
    <mergeCell ref="C254:C260"/>
    <mergeCell ref="D254:D260"/>
    <mergeCell ref="E254:E260"/>
    <mergeCell ref="F254:F260"/>
    <mergeCell ref="P243:P253"/>
    <mergeCell ref="Q243:Q253"/>
    <mergeCell ref="R243:R253"/>
    <mergeCell ref="S243:S253"/>
    <mergeCell ref="AC243:AC253"/>
    <mergeCell ref="AD243:AD253"/>
    <mergeCell ref="I243:I253"/>
    <mergeCell ref="J243:J253"/>
    <mergeCell ref="L243:L253"/>
    <mergeCell ref="M243:M253"/>
    <mergeCell ref="N243:N253"/>
    <mergeCell ref="O243:O253"/>
    <mergeCell ref="A243:A253"/>
    <mergeCell ref="B243:B253"/>
    <mergeCell ref="C243:C253"/>
    <mergeCell ref="D243:D253"/>
    <mergeCell ref="E243:E253"/>
    <mergeCell ref="F243:F253"/>
    <mergeCell ref="G243:G253"/>
    <mergeCell ref="H243:H253"/>
    <mergeCell ref="N237:N242"/>
    <mergeCell ref="G237:G242"/>
    <mergeCell ref="H237:H242"/>
    <mergeCell ref="I237:I242"/>
    <mergeCell ref="J237:J242"/>
    <mergeCell ref="L237:L242"/>
    <mergeCell ref="M237:M242"/>
    <mergeCell ref="A237:A242"/>
    <mergeCell ref="B237:B242"/>
    <mergeCell ref="C237:C242"/>
    <mergeCell ref="D237:D242"/>
    <mergeCell ref="E237:E242"/>
    <mergeCell ref="F237:F242"/>
    <mergeCell ref="Q221:Q236"/>
    <mergeCell ref="R221:R236"/>
    <mergeCell ref="S221:S236"/>
    <mergeCell ref="AC221:AC236"/>
    <mergeCell ref="AD221:AD236"/>
    <mergeCell ref="AC237:AC242"/>
    <mergeCell ref="AD237:AD242"/>
    <mergeCell ref="O237:O242"/>
    <mergeCell ref="P237:P242"/>
    <mergeCell ref="Q237:Q242"/>
    <mergeCell ref="R237:R242"/>
    <mergeCell ref="S237:S242"/>
    <mergeCell ref="AE221:AE223"/>
    <mergeCell ref="J221:J236"/>
    <mergeCell ref="L221:L236"/>
    <mergeCell ref="M221:M236"/>
    <mergeCell ref="N221:N236"/>
    <mergeCell ref="O221:O236"/>
    <mergeCell ref="P221:P236"/>
    <mergeCell ref="AD207:AD220"/>
    <mergeCell ref="A221:A236"/>
    <mergeCell ref="B221:B236"/>
    <mergeCell ref="C221:C236"/>
    <mergeCell ref="D221:D236"/>
    <mergeCell ref="E221:E236"/>
    <mergeCell ref="F221:F236"/>
    <mergeCell ref="G221:G236"/>
    <mergeCell ref="H221:H236"/>
    <mergeCell ref="I221:I236"/>
    <mergeCell ref="O207:O220"/>
    <mergeCell ref="P207:P220"/>
    <mergeCell ref="Q207:Q220"/>
    <mergeCell ref="R207:R220"/>
    <mergeCell ref="S207:S220"/>
    <mergeCell ref="AC207:AC220"/>
    <mergeCell ref="H207:H220"/>
    <mergeCell ref="I207:I220"/>
    <mergeCell ref="J207:J220"/>
    <mergeCell ref="L207:L220"/>
    <mergeCell ref="M207:M220"/>
    <mergeCell ref="N207:N220"/>
    <mergeCell ref="I198:I206"/>
    <mergeCell ref="AC198:AC206"/>
    <mergeCell ref="AE198:AE202"/>
    <mergeCell ref="A207:A220"/>
    <mergeCell ref="B207:B220"/>
    <mergeCell ref="C207:C220"/>
    <mergeCell ref="D207:D220"/>
    <mergeCell ref="E207:E220"/>
    <mergeCell ref="F207:F220"/>
    <mergeCell ref="G207:G220"/>
    <mergeCell ref="C198:C206"/>
    <mergeCell ref="D198:D206"/>
    <mergeCell ref="E198:E206"/>
    <mergeCell ref="F198:F206"/>
    <mergeCell ref="G198:G206"/>
    <mergeCell ref="H198:H206"/>
    <mergeCell ref="Q193:Q206"/>
    <mergeCell ref="R193:R206"/>
    <mergeCell ref="S193:S206"/>
    <mergeCell ref="AC193:AC197"/>
    <mergeCell ref="AD193:AD206"/>
    <mergeCell ref="AE193:AE195"/>
    <mergeCell ref="J193:J206"/>
    <mergeCell ref="L193:L206"/>
    <mergeCell ref="M193:M206"/>
    <mergeCell ref="N193:N206"/>
    <mergeCell ref="O193:O206"/>
    <mergeCell ref="P193:P206"/>
    <mergeCell ref="A193:A206"/>
    <mergeCell ref="B193:B206"/>
    <mergeCell ref="C193:C197"/>
    <mergeCell ref="D193:D197"/>
    <mergeCell ref="E193:E197"/>
    <mergeCell ref="F193:F197"/>
    <mergeCell ref="G193:G197"/>
    <mergeCell ref="H193:H197"/>
    <mergeCell ref="I193:I197"/>
    <mergeCell ref="AD186:AD192"/>
    <mergeCell ref="AE186:AE190"/>
    <mergeCell ref="O186:O192"/>
    <mergeCell ref="P186:P192"/>
    <mergeCell ref="Q186:Q192"/>
    <mergeCell ref="R186:R192"/>
    <mergeCell ref="S186:S192"/>
    <mergeCell ref="AC186:AC192"/>
    <mergeCell ref="H186:H192"/>
    <mergeCell ref="I186:I192"/>
    <mergeCell ref="J186:J192"/>
    <mergeCell ref="L186:L192"/>
    <mergeCell ref="M186:M192"/>
    <mergeCell ref="N186:N192"/>
    <mergeCell ref="A186:A192"/>
    <mergeCell ref="B186:B192"/>
    <mergeCell ref="C186:C192"/>
    <mergeCell ref="D186:D192"/>
    <mergeCell ref="E186:E192"/>
    <mergeCell ref="F186:F192"/>
    <mergeCell ref="G186:G192"/>
    <mergeCell ref="N176:N185"/>
    <mergeCell ref="O176:O185"/>
    <mergeCell ref="G176:G185"/>
    <mergeCell ref="H176:H185"/>
    <mergeCell ref="I176:I185"/>
    <mergeCell ref="J176:J185"/>
    <mergeCell ref="L176:L185"/>
    <mergeCell ref="M176:M185"/>
    <mergeCell ref="A176:A185"/>
    <mergeCell ref="B176:B185"/>
    <mergeCell ref="C176:C185"/>
    <mergeCell ref="D176:D185"/>
    <mergeCell ref="E176:E185"/>
    <mergeCell ref="F176:F185"/>
    <mergeCell ref="AE167:AE169"/>
    <mergeCell ref="C173:C174"/>
    <mergeCell ref="D173:D174"/>
    <mergeCell ref="E173:E174"/>
    <mergeCell ref="F173:F174"/>
    <mergeCell ref="H173:H174"/>
    <mergeCell ref="C166:C172"/>
    <mergeCell ref="D166:D172"/>
    <mergeCell ref="E166:E172"/>
    <mergeCell ref="F166:F172"/>
    <mergeCell ref="G166:G172"/>
    <mergeCell ref="H166:H172"/>
    <mergeCell ref="L155:L172"/>
    <mergeCell ref="M155:M172"/>
    <mergeCell ref="N155:N172"/>
    <mergeCell ref="O155:O172"/>
    <mergeCell ref="I166:I172"/>
    <mergeCell ref="AC176:AC185"/>
    <mergeCell ref="AD176:AD185"/>
    <mergeCell ref="AE176:AE181"/>
    <mergeCell ref="P176:P185"/>
    <mergeCell ref="Q176:Q185"/>
    <mergeCell ref="R176:R185"/>
    <mergeCell ref="S176:S185"/>
    <mergeCell ref="D161:D165"/>
    <mergeCell ref="E161:E165"/>
    <mergeCell ref="F161:F165"/>
    <mergeCell ref="G161:G165"/>
    <mergeCell ref="H161:H165"/>
    <mergeCell ref="I161:I165"/>
    <mergeCell ref="AC161:AC165"/>
    <mergeCell ref="AE161:AE162"/>
    <mergeCell ref="P155:P172"/>
    <mergeCell ref="Q155:Q172"/>
    <mergeCell ref="R155:R172"/>
    <mergeCell ref="S155:S172"/>
    <mergeCell ref="AC155:AC160"/>
    <mergeCell ref="AD155:AD172"/>
    <mergeCell ref="AC166:AC172"/>
    <mergeCell ref="I155:I160"/>
    <mergeCell ref="J155:J172"/>
    <mergeCell ref="AD148:AD154"/>
    <mergeCell ref="AE148:AE152"/>
    <mergeCell ref="A155:A172"/>
    <mergeCell ref="B155:B172"/>
    <mergeCell ref="C155:C160"/>
    <mergeCell ref="D155:D160"/>
    <mergeCell ref="E155:E160"/>
    <mergeCell ref="F155:F160"/>
    <mergeCell ref="G155:G160"/>
    <mergeCell ref="H155:H160"/>
    <mergeCell ref="O148:O154"/>
    <mergeCell ref="P148:P154"/>
    <mergeCell ref="Q148:Q154"/>
    <mergeCell ref="R148:R154"/>
    <mergeCell ref="S148:S154"/>
    <mergeCell ref="AC148:AC154"/>
    <mergeCell ref="H148:H154"/>
    <mergeCell ref="I148:I154"/>
    <mergeCell ref="J148:J154"/>
    <mergeCell ref="L148:L154"/>
    <mergeCell ref="M148:M154"/>
    <mergeCell ref="N148:N154"/>
    <mergeCell ref="AE155:AE156"/>
    <mergeCell ref="C161:C165"/>
    <mergeCell ref="AC120:AC147"/>
    <mergeCell ref="AD120:AD147"/>
    <mergeCell ref="AE120:AE124"/>
    <mergeCell ref="N120:N147"/>
    <mergeCell ref="O120:O147"/>
    <mergeCell ref="P120:P147"/>
    <mergeCell ref="Q120:Q147"/>
    <mergeCell ref="R120:R147"/>
    <mergeCell ref="S120:S147"/>
    <mergeCell ref="G120:G147"/>
    <mergeCell ref="H120:H147"/>
    <mergeCell ref="I120:I147"/>
    <mergeCell ref="J120:J147"/>
    <mergeCell ref="L120:L147"/>
    <mergeCell ref="M120:M147"/>
    <mergeCell ref="A120:A147"/>
    <mergeCell ref="B120:B147"/>
    <mergeCell ref="C120:C147"/>
    <mergeCell ref="D120:D147"/>
    <mergeCell ref="E120:E147"/>
    <mergeCell ref="F120:F147"/>
    <mergeCell ref="Q116:Q119"/>
    <mergeCell ref="R116:R119"/>
    <mergeCell ref="S116:S119"/>
    <mergeCell ref="AC116:AC119"/>
    <mergeCell ref="AD116:AD119"/>
    <mergeCell ref="AE116:AE118"/>
    <mergeCell ref="J116:J119"/>
    <mergeCell ref="L116:L119"/>
    <mergeCell ref="M116:M119"/>
    <mergeCell ref="N116:N119"/>
    <mergeCell ref="O116:O119"/>
    <mergeCell ref="P116:P119"/>
    <mergeCell ref="A116:A119"/>
    <mergeCell ref="B116:B119"/>
    <mergeCell ref="C116:C119"/>
    <mergeCell ref="D116:D119"/>
    <mergeCell ref="E116:E119"/>
    <mergeCell ref="F116:F119"/>
    <mergeCell ref="G116:G119"/>
    <mergeCell ref="H116:H119"/>
    <mergeCell ref="I116:I119"/>
    <mergeCell ref="AE85:AE87"/>
    <mergeCell ref="AC86:AC100"/>
    <mergeCell ref="C101:C115"/>
    <mergeCell ref="D101:D115"/>
    <mergeCell ref="E101:E115"/>
    <mergeCell ref="F101:F115"/>
    <mergeCell ref="G101:G115"/>
    <mergeCell ref="H101:H115"/>
    <mergeCell ref="I101:I115"/>
    <mergeCell ref="AC101:AC115"/>
    <mergeCell ref="O85:O115"/>
    <mergeCell ref="P85:P115"/>
    <mergeCell ref="Q85:Q115"/>
    <mergeCell ref="R85:R115"/>
    <mergeCell ref="S85:S115"/>
    <mergeCell ref="AD85:AD115"/>
    <mergeCell ref="H85:H100"/>
    <mergeCell ref="I85:I100"/>
    <mergeCell ref="J85:J115"/>
    <mergeCell ref="L85:L115"/>
    <mergeCell ref="M85:M115"/>
    <mergeCell ref="N85:N115"/>
    <mergeCell ref="AE101:AE105"/>
    <mergeCell ref="AC70:AC84"/>
    <mergeCell ref="AD70:AD84"/>
    <mergeCell ref="AE70:AE72"/>
    <mergeCell ref="A85:A115"/>
    <mergeCell ref="B85:B115"/>
    <mergeCell ref="C85:C100"/>
    <mergeCell ref="D85:D100"/>
    <mergeCell ref="E85:E100"/>
    <mergeCell ref="F85:F100"/>
    <mergeCell ref="G85:G100"/>
    <mergeCell ref="N70:N84"/>
    <mergeCell ref="O70:O84"/>
    <mergeCell ref="P70:P84"/>
    <mergeCell ref="Q70:Q84"/>
    <mergeCell ref="R70:R84"/>
    <mergeCell ref="S70:S84"/>
    <mergeCell ref="G70:G84"/>
    <mergeCell ref="H70:H84"/>
    <mergeCell ref="I70:I84"/>
    <mergeCell ref="J70:J84"/>
    <mergeCell ref="L70:L84"/>
    <mergeCell ref="M70:M84"/>
    <mergeCell ref="A70:A84"/>
    <mergeCell ref="B70:B84"/>
    <mergeCell ref="C70:C84"/>
    <mergeCell ref="D70:D84"/>
    <mergeCell ref="E70:E84"/>
    <mergeCell ref="F70:F84"/>
    <mergeCell ref="AE47:AE49"/>
    <mergeCell ref="C63:C69"/>
    <mergeCell ref="D63:D69"/>
    <mergeCell ref="E63:E69"/>
    <mergeCell ref="F63:F69"/>
    <mergeCell ref="G63:G69"/>
    <mergeCell ref="H63:H69"/>
    <mergeCell ref="I63:I69"/>
    <mergeCell ref="AC63:AC69"/>
    <mergeCell ref="AE63:AE65"/>
    <mergeCell ref="P47:P69"/>
    <mergeCell ref="Q47:Q69"/>
    <mergeCell ref="R47:R69"/>
    <mergeCell ref="S47:S69"/>
    <mergeCell ref="AC47:AC62"/>
    <mergeCell ref="AD47:AD69"/>
    <mergeCell ref="I47:I62"/>
    <mergeCell ref="J47:J69"/>
    <mergeCell ref="L47:L69"/>
    <mergeCell ref="M47:M69"/>
    <mergeCell ref="N47:N69"/>
    <mergeCell ref="O47:O69"/>
    <mergeCell ref="AD37:AD46"/>
    <mergeCell ref="AE37:AE39"/>
    <mergeCell ref="A47:A69"/>
    <mergeCell ref="B47:B69"/>
    <mergeCell ref="C47:C62"/>
    <mergeCell ref="D47:D62"/>
    <mergeCell ref="E47:E62"/>
    <mergeCell ref="F47:F62"/>
    <mergeCell ref="G47:G62"/>
    <mergeCell ref="H47:H62"/>
    <mergeCell ref="O37:O46"/>
    <mergeCell ref="P37:P46"/>
    <mergeCell ref="Q37:Q46"/>
    <mergeCell ref="R37:R46"/>
    <mergeCell ref="S37:S46"/>
    <mergeCell ref="AC37:AC46"/>
    <mergeCell ref="H37:H46"/>
    <mergeCell ref="I37:I46"/>
    <mergeCell ref="J37:J46"/>
    <mergeCell ref="L37:L46"/>
    <mergeCell ref="M37:M46"/>
    <mergeCell ref="N37:N46"/>
    <mergeCell ref="AC27:AC36"/>
    <mergeCell ref="AD27:AD36"/>
    <mergeCell ref="AE27:AE29"/>
    <mergeCell ref="A37:A46"/>
    <mergeCell ref="B37:B46"/>
    <mergeCell ref="C37:C46"/>
    <mergeCell ref="D37:D46"/>
    <mergeCell ref="E37:E46"/>
    <mergeCell ref="F37:F46"/>
    <mergeCell ref="G37:G46"/>
    <mergeCell ref="N27:N36"/>
    <mergeCell ref="O27:O36"/>
    <mergeCell ref="P27:P36"/>
    <mergeCell ref="Q27:Q36"/>
    <mergeCell ref="R27:R36"/>
    <mergeCell ref="S27:S36"/>
    <mergeCell ref="G27:G36"/>
    <mergeCell ref="H27:H36"/>
    <mergeCell ref="I27:I36"/>
    <mergeCell ref="J27:J36"/>
    <mergeCell ref="L27:L36"/>
    <mergeCell ref="M27:M36"/>
    <mergeCell ref="A27:A36"/>
    <mergeCell ref="B27:B36"/>
    <mergeCell ref="C27:C36"/>
    <mergeCell ref="D27:D36"/>
    <mergeCell ref="E27:E36"/>
    <mergeCell ref="F27:F36"/>
    <mergeCell ref="AE10:AE12"/>
    <mergeCell ref="C20:C26"/>
    <mergeCell ref="D20:D26"/>
    <mergeCell ref="E20:E26"/>
    <mergeCell ref="F20:F26"/>
    <mergeCell ref="G20:G26"/>
    <mergeCell ref="H20:H26"/>
    <mergeCell ref="I20:I26"/>
    <mergeCell ref="AC20:AC26"/>
    <mergeCell ref="AE20:AE22"/>
    <mergeCell ref="P10:P26"/>
    <mergeCell ref="Q10:Q26"/>
    <mergeCell ref="R10:R26"/>
    <mergeCell ref="S10:S26"/>
    <mergeCell ref="AC10:AC19"/>
    <mergeCell ref="AD10:AD26"/>
    <mergeCell ref="I10:I19"/>
    <mergeCell ref="J10:J26"/>
    <mergeCell ref="L10:L26"/>
    <mergeCell ref="M10:M26"/>
    <mergeCell ref="N10:N26"/>
    <mergeCell ref="O10:O26"/>
    <mergeCell ref="C5:E5"/>
    <mergeCell ref="F5:K5"/>
    <mergeCell ref="A10:A26"/>
    <mergeCell ref="B10:B26"/>
    <mergeCell ref="C10:C19"/>
    <mergeCell ref="D10:D19"/>
    <mergeCell ref="E10:E19"/>
    <mergeCell ref="F10:F19"/>
    <mergeCell ref="G10:G19"/>
    <mergeCell ref="H10:H19"/>
    <mergeCell ref="A1:AD1"/>
    <mergeCell ref="A2:AD3"/>
    <mergeCell ref="A4:A6"/>
    <mergeCell ref="B4:B6"/>
    <mergeCell ref="C4:K4"/>
    <mergeCell ref="L4:L6"/>
    <mergeCell ref="M4:M6"/>
    <mergeCell ref="N4:N6"/>
    <mergeCell ref="O4:S5"/>
    <mergeCell ref="T4:AC5"/>
    <mergeCell ref="AD4:AD6"/>
  </mergeCells>
  <pageMargins left="0.3" right="0.2" top="0.3" bottom="0.3" header="0.3" footer="0.3"/>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LuuTo 2</vt:lpstr>
      <vt:lpstr>PA ĐK Đợt 3</vt:lpstr>
      <vt:lpstr>Chi trả Đợt 5 kèm QĐ (37 hộ)</vt:lpstr>
      <vt:lpstr>'Chi trả Đợt 5 kèm QĐ (37 hộ)'!Print_Titles</vt:lpstr>
      <vt:lpstr>'PA ĐK Đợt 3'!Print_Titles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DO THI ANH</cp:lastModifiedBy>
  <cp:lastPrinted>2026-08-17T12:37:01Z</cp:lastPrinted>
  <dcterms:created xsi:type="dcterms:W3CDTF">2025-07-14T14:38:00Z</dcterms:created>
  <dcterms:modified xsi:type="dcterms:W3CDTF">2026-10-12T05:02:23Z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66FE13B1A7FB47328DD159379433B118_13</vt:lpwstr>
  </property>
  <property fmtid="{D5CDD505-2E9C-101B-9397-08002B2CF9AE}" pid="3" name="KSOProductBuildVer">
    <vt:lpwstr>1033-12.2.0.23196</vt:lpwstr>
  </property>
</Properties>
</file>